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NASADMIN\Controlled Docs\Compliance\ASC\CMRT Conflict of Minerals\"/>
    </mc:Choice>
  </mc:AlternateContent>
  <xr:revisionPtr revIDLastSave="0" documentId="13_ncr:1_{12D2D40F-7219-4933-90DF-BA36D0BF87A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T7" i="5"/>
  <c r="S8" i="5"/>
  <c r="T8" i="5"/>
  <c r="T9" i="5"/>
  <c r="S10" i="5"/>
  <c r="T10" i="5"/>
  <c r="S11" i="5"/>
  <c r="T11" i="5"/>
  <c r="S12" i="5"/>
  <c r="T12" i="5"/>
  <c r="S13" i="5"/>
  <c r="T13" i="5"/>
  <c r="S14" i="5"/>
  <c r="T14" i="5"/>
  <c r="S15" i="5"/>
  <c r="T15" i="5"/>
  <c r="T16" i="5"/>
  <c r="S17" i="5"/>
  <c r="T17" i="5"/>
  <c r="S18" i="5"/>
  <c r="T18" i="5"/>
  <c r="S19" i="5"/>
  <c r="T19" i="5"/>
  <c r="S20" i="5"/>
  <c r="T20" i="5"/>
  <c r="S21" i="5"/>
  <c r="T21" i="5"/>
  <c r="S22" i="5"/>
  <c r="T22" i="5"/>
  <c r="S23" i="5"/>
  <c r="T23" i="5"/>
  <c r="S24" i="5"/>
  <c r="T24" i="5"/>
  <c r="S25" i="5"/>
  <c r="T25" i="5"/>
  <c r="S26" i="5"/>
  <c r="T26" i="5"/>
  <c r="S27" i="5"/>
  <c r="T27" i="5"/>
  <c r="S28" i="5"/>
  <c r="T28" i="5"/>
  <c r="S29" i="5"/>
  <c r="T29" i="5"/>
  <c r="T30" i="5"/>
  <c r="S31" i="5"/>
  <c r="T31" i="5"/>
  <c r="S32" i="5"/>
  <c r="T32" i="5"/>
  <c r="S33" i="5"/>
  <c r="T33" i="5"/>
  <c r="S34" i="5"/>
  <c r="T34" i="5"/>
  <c r="S35" i="5"/>
  <c r="T35" i="5"/>
  <c r="S36" i="5"/>
  <c r="T36" i="5"/>
  <c r="S37" i="5"/>
  <c r="T37" i="5"/>
  <c r="S38" i="5"/>
  <c r="T38" i="5"/>
  <c r="S39" i="5"/>
  <c r="T39" i="5"/>
  <c r="S40" i="5"/>
  <c r="T40"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T57"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T73" i="5"/>
  <c r="S74" i="5"/>
  <c r="T74" i="5"/>
  <c r="S75" i="5"/>
  <c r="T75" i="5"/>
  <c r="S76" i="5"/>
  <c r="T76" i="5"/>
  <c r="S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R68" i="5"/>
  <c r="R67" i="5"/>
  <c r="R65" i="5"/>
  <c r="R64" i="5"/>
  <c r="R63" i="5"/>
  <c r="R61" i="5"/>
  <c r="R59" i="5"/>
  <c r="X57" i="5"/>
  <c r="R55" i="5"/>
  <c r="R52" i="5"/>
  <c r="R51" i="5"/>
  <c r="R49" i="5"/>
  <c r="R48" i="5"/>
  <c r="R47" i="5"/>
  <c r="R45" i="5"/>
  <c r="R44" i="5"/>
  <c r="R43" i="5"/>
  <c r="X41" i="5"/>
  <c r="R39" i="5"/>
  <c r="R36" i="5"/>
  <c r="R35" i="5"/>
  <c r="R33" i="5"/>
  <c r="R32" i="5"/>
  <c r="R31" i="5"/>
  <c r="R23"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X23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X2388" i="5"/>
  <c r="AB23"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X24" i="5"/>
  <c r="R96" i="5"/>
  <c r="X96" i="5"/>
  <c r="H78" i="5"/>
  <c r="F78" i="5"/>
  <c r="X78" i="5"/>
  <c r="I78" i="5"/>
  <c r="X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X62" i="5"/>
  <c r="I125" i="5"/>
  <c r="H125" i="5"/>
  <c r="H146" i="5"/>
  <c r="I146" i="5"/>
  <c r="F146" i="5"/>
  <c r="R236" i="5"/>
  <c r="F236" i="5"/>
  <c r="X236" i="5"/>
  <c r="J261" i="5"/>
  <c r="AB261" i="5"/>
  <c r="AB297" i="5"/>
  <c r="F450" i="5"/>
  <c r="R452" i="5"/>
  <c r="J452" i="5"/>
  <c r="H452" i="5"/>
  <c r="F452" i="5"/>
  <c r="H106" i="5"/>
  <c r="I106" i="5"/>
  <c r="X106" i="5"/>
  <c r="R124" i="5"/>
  <c r="AB1446" i="5"/>
  <c r="S1446" i="5"/>
  <c r="R21"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X60" i="5"/>
  <c r="R72" i="5"/>
  <c r="X72" i="5"/>
  <c r="F108" i="5"/>
  <c r="R108" i="5"/>
  <c r="R132" i="5"/>
  <c r="F132" i="5"/>
  <c r="F168" i="5"/>
  <c r="R168" i="5"/>
  <c r="X168" i="5"/>
  <c r="H194" i="5"/>
  <c r="F194" i="5"/>
  <c r="X194" i="5"/>
  <c r="R194" i="5"/>
  <c r="I194" i="5"/>
  <c r="J194" i="5"/>
  <c r="R66" i="5"/>
  <c r="X66" i="5"/>
  <c r="R19" i="5"/>
  <c r="X19" i="5"/>
  <c r="X34" i="5"/>
  <c r="R34" i="5"/>
  <c r="H138" i="5"/>
  <c r="R138" i="5"/>
  <c r="J138" i="5"/>
  <c r="I138" i="5"/>
  <c r="X138" i="5"/>
  <c r="F138" i="5"/>
  <c r="X192" i="5"/>
  <c r="F192" i="5"/>
  <c r="H226" i="5"/>
  <c r="X226" i="5"/>
  <c r="R226" i="5"/>
  <c r="F226" i="5"/>
  <c r="J226" i="5"/>
  <c r="I226" i="5"/>
  <c r="R40" i="5"/>
  <c r="X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X26" i="5"/>
  <c r="R26" i="5"/>
  <c r="H82" i="5"/>
  <c r="R82" i="5"/>
  <c r="J82" i="5"/>
  <c r="I82" i="5"/>
  <c r="F82" i="5"/>
  <c r="X82" i="5"/>
  <c r="R50" i="5"/>
  <c r="X50" i="5"/>
  <c r="R76" i="5"/>
  <c r="X76" i="5"/>
  <c r="R88" i="5"/>
  <c r="X88" i="5"/>
  <c r="I88" i="5"/>
  <c r="X128" i="5"/>
  <c r="F128" i="5"/>
  <c r="H198" i="5"/>
  <c r="R198" i="5"/>
  <c r="J198" i="5"/>
  <c r="I198" i="5"/>
  <c r="F198" i="5"/>
  <c r="X198" i="5"/>
  <c r="H130" i="5"/>
  <c r="F130" i="5"/>
  <c r="X130" i="5"/>
  <c r="I130" i="5"/>
  <c r="R130" i="5"/>
  <c r="J130" i="5"/>
  <c r="R56" i="5"/>
  <c r="X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X30" i="5"/>
  <c r="F112" i="5"/>
  <c r="X112" i="5"/>
  <c r="R112" i="5"/>
  <c r="H154" i="5"/>
  <c r="R154" i="5"/>
  <c r="J154" i="5"/>
  <c r="I154" i="5"/>
  <c r="X154" i="5"/>
  <c r="F154" i="5"/>
  <c r="H202" i="5"/>
  <c r="R202" i="5"/>
  <c r="J202" i="5"/>
  <c r="I202" i="5"/>
  <c r="X202" i="5"/>
  <c r="F202" i="5"/>
  <c r="R248" i="5"/>
  <c r="F248" i="5"/>
  <c r="R38" i="5"/>
  <c r="R54"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X44" i="5"/>
  <c r="X54"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AB25" i="5"/>
  <c r="X38" i="5"/>
  <c r="AB21" i="5"/>
  <c r="R24" i="5"/>
  <c r="R46" i="5"/>
  <c r="R62"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X48" i="5"/>
  <c r="X64" i="5"/>
  <c r="X80" i="5"/>
  <c r="I81"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1" i="5"/>
  <c r="X52"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AB20" i="5"/>
  <c r="AB27" i="5"/>
  <c r="R28" i="5"/>
  <c r="AB33" i="5"/>
  <c r="AB37" i="5"/>
  <c r="AB41" i="5"/>
  <c r="AB45" i="5"/>
  <c r="AB49" i="5"/>
  <c r="AB53" i="5"/>
  <c r="AB57" i="5"/>
  <c r="AB61" i="5"/>
  <c r="AB65" i="5"/>
  <c r="AB69" i="5"/>
  <c r="AB73"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H113" i="5"/>
  <c r="F117" i="5"/>
  <c r="R117" i="5"/>
  <c r="J117" i="5"/>
  <c r="X5"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AB108" i="5"/>
  <c r="X116" i="5"/>
  <c r="J120" i="5"/>
  <c r="I120" i="5"/>
  <c r="H120" i="5"/>
  <c r="AB140" i="5"/>
  <c r="H145" i="5"/>
  <c r="F149" i="5"/>
  <c r="R149" i="5"/>
  <c r="J149" i="5"/>
  <c r="AB19" i="5"/>
  <c r="AB26" i="5"/>
  <c r="X28" i="5"/>
  <c r="X23" i="5"/>
  <c r="R27"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AB30" i="5"/>
  <c r="AB24" i="5"/>
  <c r="AB36" i="5"/>
  <c r="AB44" i="5"/>
  <c r="AB52" i="5"/>
  <c r="AB56" i="5"/>
  <c r="AB60" i="5"/>
  <c r="AB64" i="5"/>
  <c r="AB68" i="5"/>
  <c r="AB72"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AB32" i="5"/>
  <c r="AB40" i="5"/>
  <c r="AB48" i="5"/>
  <c r="AB76" i="5"/>
  <c r="J79" i="5"/>
  <c r="H79" i="5"/>
  <c r="F79" i="5"/>
  <c r="J80" i="5"/>
  <c r="H80" i="5"/>
  <c r="AB84" i="5"/>
  <c r="J87" i="5"/>
  <c r="H87" i="5"/>
  <c r="F87" i="5"/>
  <c r="J88" i="5"/>
  <c r="H88" i="5"/>
  <c r="AB92" i="5"/>
  <c r="AB96" i="5"/>
  <c r="H117" i="5"/>
  <c r="F121" i="5"/>
  <c r="R121" i="5"/>
  <c r="J121" i="5"/>
  <c r="J124" i="5"/>
  <c r="I124" i="5"/>
  <c r="H124" i="5"/>
  <c r="R18" i="5"/>
  <c r="R22" i="5"/>
  <c r="R25" i="5"/>
  <c r="X29" i="5"/>
  <c r="R30"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122" i="5"/>
  <c r="S176" i="5"/>
  <c r="S360" i="5"/>
  <c r="S96" i="5"/>
  <c r="S218" i="5"/>
  <c r="S294" i="5"/>
  <c r="S416" i="5"/>
  <c r="S431" i="5"/>
  <c r="S559" i="5"/>
  <c r="S509" i="5"/>
  <c r="S105" i="5"/>
  <c r="S340" i="5"/>
  <c r="S82" i="5"/>
  <c r="S94" i="5"/>
  <c r="S160" i="5"/>
  <c r="S170" i="5"/>
  <c r="S30" i="5"/>
  <c r="S112" i="5"/>
  <c r="S144" i="5"/>
  <c r="S134" i="5"/>
  <c r="S266" i="5"/>
  <c r="S274" i="5"/>
  <c r="S387" i="5"/>
  <c r="S428" i="5"/>
  <c r="S448" i="5"/>
  <c r="S456" i="5"/>
  <c r="S435" i="5"/>
  <c r="S189" i="5"/>
  <c r="S228" i="5"/>
  <c r="S236" i="5"/>
  <c r="S224" i="5"/>
  <c r="S178" i="5"/>
  <c r="S104" i="5"/>
  <c r="S136" i="5"/>
  <c r="S158" i="5"/>
  <c r="S118" i="5"/>
  <c r="S182" i="5"/>
  <c r="S130" i="5"/>
  <c r="S19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142" i="5"/>
  <c r="S174" i="5"/>
  <c r="S88" i="5"/>
  <c r="S154" i="5"/>
  <c r="S156" i="5"/>
  <c r="S363" i="5"/>
  <c r="S303" i="5"/>
  <c r="S391" i="5"/>
  <c r="S347" i="5"/>
  <c r="S432" i="5"/>
  <c r="S443" i="5"/>
  <c r="S583" i="5"/>
  <c r="S58" i="5"/>
  <c r="S98" i="5"/>
  <c r="S80" i="5"/>
  <c r="S234" i="5"/>
  <c r="S270" i="5"/>
  <c r="S290" i="5"/>
  <c r="S395" i="5"/>
  <c r="S399" i="5"/>
  <c r="S404" i="5"/>
  <c r="S412" i="5"/>
  <c r="S452" i="5"/>
  <c r="S419" i="5"/>
  <c r="S447" i="5"/>
  <c r="S209"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148" i="5"/>
  <c r="X529" i="5"/>
  <c r="X386" i="5"/>
  <c r="X121" i="5"/>
  <c r="X545" i="5"/>
  <c r="X558" i="5"/>
  <c r="S531" i="5"/>
  <c r="X335" i="5"/>
  <c r="X355" i="5"/>
  <c r="S355" i="5"/>
  <c r="X317" i="5"/>
  <c r="X153" i="5"/>
  <c r="X213" i="5"/>
  <c r="X20"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398" i="5"/>
  <c r="S249" i="5"/>
  <c r="S344" i="5"/>
  <c r="S320" i="5"/>
  <c r="S527" i="5"/>
  <c r="S140" i="5"/>
  <c r="S515" i="5"/>
  <c r="S593" i="5"/>
  <c r="S97" i="5"/>
  <c r="S133" i="5"/>
  <c r="S506" i="5"/>
  <c r="S157" i="5"/>
  <c r="S332" i="5"/>
  <c r="S450" i="5"/>
  <c r="S334" i="5"/>
  <c r="S204" i="5"/>
  <c r="S125" i="5"/>
  <c r="S152" i="5"/>
  <c r="S165" i="5"/>
  <c r="S117" i="5"/>
  <c r="S316" i="5"/>
  <c r="S87" i="5"/>
  <c r="S58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141" i="5"/>
  <c r="S514" i="5"/>
  <c r="S288" i="5"/>
  <c r="S180" i="5"/>
  <c r="S89" i="5"/>
  <c r="S312" i="5"/>
  <c r="S241" i="5"/>
  <c r="S306" i="5"/>
  <c r="S336" i="5"/>
  <c r="S100" i="5"/>
  <c r="S554" i="5"/>
  <c r="S569" i="5"/>
  <c r="S153" i="5"/>
  <c r="S300" i="5"/>
  <c r="S245" i="5"/>
  <c r="S253" i="5"/>
  <c r="S205" i="5"/>
  <c r="S324" i="5"/>
  <c r="S526" i="5"/>
  <c r="S368" i="5"/>
  <c r="S380"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6"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<sst xmlns="http://schemas.openxmlformats.org/spreadsheetml/2006/main" count="23168" uniqueCount="15929">
  <si>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</si>
  <si>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</si>
  <si>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</si>
  <si>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</si>
  <si>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</si>
  <si>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</si>
  <si>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</si>
  <si>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</si>
  <si>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</si>
  <si>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</si>
  <si>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</si>
  <si>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</si>
  <si>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</si>
  <si>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</si>
  <si>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</si>
  <si>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</si>
  <si>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</si>
  <si>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</si>
  <si>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</si>
  <si>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</si>
  <si>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</si>
  <si>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</si>
  <si>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</si>
  <si>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</si>
  <si>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</si>
  <si>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</si>
  <si>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</si>
  <si>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</si>
  <si>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</si>
  <si>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</si>
  <si>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</si>
  <si>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</si>
  <si>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</si>
  <si>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</si>
  <si>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</si>
  <si>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</si>
  <si>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</si>
  <si>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</si>
  <si>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</si>
  <si>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</si>
  <si>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</si>
  <si>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</si>
  <si>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</si>
  <si>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</si>
  <si>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</si>
  <si>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</si>
  <si>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</si>
  <si>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</si>
  <si>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</si>
  <si>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</si>
  <si>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</si>
  <si>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</si>
  <si>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</si>
  <si>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</si>
  <si>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</si>
  <si>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</si>
  <si>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</si>
  <si>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</si>
  <si>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</si>
  <si>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</si>
  <si>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</si>
  <si>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</si>
  <si>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</si>
  <si>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</si>
  <si>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</si>
  <si>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</si>
  <si>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</si>
  <si>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</si>
  <si>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</si>
  <si>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</si>
  <si>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</si>
  <si>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</si>
  <si>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</si>
  <si>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</si>
  <si>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</si>
  <si>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</si>
  <si>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</si>
  <si>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</si>
  <si>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</si>
  <si>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</si>
  <si>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</si>
  <si>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</si>
  <si>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</si>
  <si>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</si>
  <si>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</si>
  <si>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</si>
  <si>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</si>
  <si>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</si>
  <si>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</si>
  <si>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</si>
  <si>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</si>
  <si>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</si>
  <si>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</si>
  <si>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</si>
  <si>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</si>
  <si>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</si>
  <si>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</si>
  <si>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</si>
  <si>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</si>
  <si>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</si>
  <si>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</si>
  <si>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</si>
  <si>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</si>
  <si>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</si>
  <si>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</si>
  <si>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</si>
  <si>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</si>
  <si>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</si>
  <si>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</si>
  <si>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</si>
  <si>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</si>
  <si>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</si>
  <si>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</si>
  <si>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</si>
  <si>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</si>
  <si>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</si>
  <si>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</si>
  <si>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</si>
  <si>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</si>
  <si>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</si>
  <si>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</si>
  <si>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</si>
  <si>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</si>
  <si>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</si>
  <si>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</si>
  <si>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</si>
  <si>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</si>
  <si>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</si>
  <si>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</si>
  <si>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</si>
  <si>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</si>
  <si>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</si>
  <si>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</si>
  <si>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</si>
  <si>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</si>
  <si>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</si>
  <si>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</si>
  <si>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</si>
  <si>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</si>
  <si>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</si>
  <si>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</si>
  <si>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</si>
  <si>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</si>
  <si>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</si>
  <si>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</si>
  <si>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</si>
  <si>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</si>
  <si>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</si>
  <si>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</si>
  <si>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</si>
  <si>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</si>
  <si>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</si>
  <si>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</si>
  <si>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</si>
  <si>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</si>
  <si>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</si>
  <si>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</si>
  <si>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</si>
  <si>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</si>
  <si>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</si>
  <si>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</si>
  <si>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</si>
  <si>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</si>
  <si>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</si>
  <si>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</si>
  <si>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</si>
  <si>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</si>
  <si>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</si>
  <si>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</si>
  <si>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</si>
  <si>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</si>
  <si>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</si>
  <si>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</si>
  <si>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</si>
  <si>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</si>
  <si>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</si>
  <si>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</si>
  <si>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</si>
  <si>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</si>
  <si>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</si>
  <si>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</si>
  <si>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</si>
  <si>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</si>
  <si>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</si>
  <si>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</si>
  <si>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</si>
  <si>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</si>
  <si>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</si>
  <si>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</si>
  <si>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</si>
  <si>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</si>
  <si>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</si>
  <si>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</si>
  <si>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</si>
  <si>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</si>
  <si>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</si>
  <si>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</si>
  <si>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</si>
  <si>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</si>
  <si>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</si>
  <si>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</si>
  <si>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</si>
  <si>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</si>
  <si>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</si>
  <si>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</si>
  <si>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</si>
  <si>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</si>
  <si>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</si>
  <si>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</si>
  <si>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</si>
  <si>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</si>
  <si>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</si>
  <si>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</si>
  <si>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</si>
  <si>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</si>
  <si>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</si>
  <si>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</si>
  <si>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</si>
  <si>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</si>
  <si>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</si>
  <si>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</si>
  <si>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</si>
  <si>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</si>
  <si>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</si>
  <si>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</si>
  <si>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</si>
  <si>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</si>
  <si>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</si>
  <si>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</si>
  <si>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</si>
  <si>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</si>
  <si>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</si>
  <si>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</si>
  <si>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</si>
  <si>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</si>
  <si>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</si>
  <si>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</si>
  <si>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</si>
  <si>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</si>
  <si>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</si>
  <si>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</si>
  <si>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</si>
  <si>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</si>
  <si>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</si>
  <si>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</si>
  <si>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</si>
  <si>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</si>
  <si>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</si>
  <si>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</si>
  <si>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</si>
  <si>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</si>
  <si>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</si>
  <si>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</si>
  <si>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</si>
  <si>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</si>
  <si>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</si>
  <si>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</si>
  <si>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</si>
  <si>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</si>
  <si>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</si>
  <si>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</si>
  <si>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</si>
  <si>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</si>
  <si>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</si>
  <si>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</si>
  <si>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</si>
  <si>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</si>
  <si>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</si>
  <si>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</si>
  <si>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</si>
  <si>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</si>
  <si>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</si>
  <si>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</si>
  <si>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</si>
  <si>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</si>
  <si>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</si>
  <si>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</si>
  <si>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</si>
  <si>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</si>
  <si>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</si>
  <si>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</si>
  <si>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</si>
  <si>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</si>
  <si>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</si>
  <si>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</si>
  <si>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</si>
  <si>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</si>
  <si>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</si>
  <si>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</si>
  <si>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</si>
  <si>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</si>
  <si>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</si>
  <si>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</si>
  <si>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</si>
  <si>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</si>
  <si>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</si>
  <si>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</si>
  <si>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</si>
  <si>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</si>
  <si>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</si>
  <si>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</si>
  <si>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</si>
  <si>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</si>
  <si>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</si>
  <si>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</si>
  <si>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</si>
  <si>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</si>
  <si>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</si>
  <si>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</si>
  <si>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</si>
  <si>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</si>
  <si>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</si>
  <si>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</si>
  <si>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</si>
  <si>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</si>
  <si>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</si>
  <si>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</si>
  <si>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</si>
  <si>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</si>
  <si>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</si>
  <si>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</si>
  <si>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</si>
  <si>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</si>
  <si>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</si>
  <si>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</si>
  <si>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</si>
  <si>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</si>
  <si>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</si>
  <si>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</si>
  <si>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</si>
  <si>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</si>
  <si>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</si>
  <si>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</si>
  <si>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</si>
  <si>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</si>
  <si>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</si>
  <si>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</si>
  <si>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</si>
  <si>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</si>
  <si>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</si>
  <si>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</si>
  <si>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</si>
  <si>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</si>
  <si>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</si>
  <si>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</si>
  <si>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</si>
  <si>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</si>
  <si>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</si>
  <si>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</si>
  <si>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</si>
  <si>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</si>
  <si>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</si>
  <si>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</si>
  <si>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</si>
  <si>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</si>
  <si>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</si>
  <si>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</si>
  <si>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</si>
  <si>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</si>
  <si>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</si>
  <si>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</si>
  <si>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</si>
  <si>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</si>
  <si>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</si>
  <si>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</si>
  <si>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</si>
  <si>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</si>
  <si>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</si>
  <si>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</si>
  <si>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</si>
  <si>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</si>
  <si>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</si>
  <si>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</si>
  <si>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</si>
  <si>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</si>
  <si>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</si>
  <si>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</si>
  <si>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</si>
  <si>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</si>
  <si>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</si>
  <si>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</si>
  <si>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</si>
  <si>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</si>
  <si>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</si>
  <si>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</si>
  <si>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</si>
  <si>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</si>
  <si>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</si>
  <si>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</si>
  <si>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</si>
  <si>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</si>
  <si>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</si>
  <si>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</si>
  <si>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</si>
  <si>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</si>
  <si>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</si>
  <si>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</si>
  <si>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</si>
  <si>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</si>
  <si>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</si>
  <si>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</si>
  <si>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</si>
  <si>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</si>
  <si>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</si>
  <si>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</si>
  <si>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</si>
  <si>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</si>
  <si>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</si>
  <si>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</si>
  <si>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</si>
  <si>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</si>
  <si>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</si>
  <si>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</si>
  <si>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</si>
  <si>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</si>
  <si>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</si>
  <si>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</si>
  <si>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</si>
  <si>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</si>
  <si>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</si>
  <si>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</si>
  <si>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</si>
  <si>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</si>
  <si>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</si>
  <si>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</si>
  <si>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</si>
  <si>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</si>
  <si>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</si>
  <si>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</si>
  <si>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</si>
  <si>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</si>
  <si>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</si>
  <si>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</si>
  <si>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</si>
  <si>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</si>
  <si>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</si>
  <si>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</si>
  <si>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</si>
  <si>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</si>
  <si>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</si>
  <si>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</si>
  <si>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</si>
  <si>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</si>
  <si>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</si>
  <si>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</si>
  <si>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</si>
  <si>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</si>
  <si>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</si>
  <si>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</si>
  <si>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</si>
  <si>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</si>
  <si>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</si>
  <si>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</si>
  <si>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</si>
  <si>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</si>
  <si>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</si>
  <si>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</si>
  <si>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</si>
  <si>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</si>
  <si>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</si>
  <si>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</si>
  <si>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</si>
  <si>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</si>
  <si>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</si>
  <si>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</si>
  <si>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</si>
  <si>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</si>
  <si>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</si>
  <si>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</si>
  <si>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</si>
  <si>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</si>
  <si>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</si>
  <si>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</si>
  <si>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</si>
  <si>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</si>
  <si>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</si>
  <si>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</si>
  <si>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</si>
  <si>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</si>
  <si>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</si>
  <si>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</si>
  <si>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</si>
  <si>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</si>
  <si>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</si>
  <si>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</si>
  <si>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</si>
  <si>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</si>
  <si>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</si>
  <si>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</si>
  <si>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</si>
  <si>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</si>
  <si>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</si>
  <si>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</si>
  <si>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</si>
  <si>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</si>
  <si>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</si>
  <si>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</si>
  <si>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</si>
  <si>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</si>
  <si>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</si>
  <si>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</si>
  <si>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</si>
  <si>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</si>
  <si>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</si>
  <si>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</si>
  <si>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</si>
  <si>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</si>
  <si>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</si>
  <si>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</si>
  <si>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</si>
  <si>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</si>
  <si>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</si>
  <si>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</si>
  <si>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</si>
  <si>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</si>
  <si>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</si>
  <si>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</si>
  <si>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</si>
  <si>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</si>
  <si>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</si>
  <si>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</si>
  <si>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</si>
  <si>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</si>
  <si>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</si>
  <si>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</si>
  <si>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</si>
  <si>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</si>
  <si>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</si>
  <si>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</si>
  <si>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</si>
  <si>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</si>
  <si>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</si>
  <si>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</si>
  <si>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</si>
  <si>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</si>
  <si>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</si>
  <si>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</si>
  <si>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</si>
  <si>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</si>
  <si>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</si>
  <si>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</si>
  <si>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</si>
  <si>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</si>
  <si>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</si>
  <si>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</si>
  <si>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</si>
  <si>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</si>
  <si>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</si>
  <si>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</si>
  <si>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</si>
  <si>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</si>
  <si>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</si>
  <si>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</si>
  <si>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</si>
  <si>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</si>
  <si>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</si>
  <si>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</si>
  <si>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</si>
  <si>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</si>
  <si>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</si>
  <si>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</si>
  <si>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</si>
  <si>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</si>
  <si>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</si>
  <si>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</si>
  <si>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</si>
  <si>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</si>
  <si>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</si>
  <si>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</si>
  <si>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</si>
  <si>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</si>
  <si>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</si>
  <si>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</si>
  <si>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</si>
  <si>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</si>
  <si>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</si>
  <si>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</si>
  <si>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</si>
  <si>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</si>
  <si>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</si>
  <si>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</si>
  <si>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</si>
  <si>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</si>
  <si>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</si>
  <si>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</si>
  <si>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</si>
  <si>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</si>
  <si>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</si>
  <si>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</si>
  <si>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</si>
  <si>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</si>
  <si>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</si>
  <si>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</si>
  <si>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</si>
  <si>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</si>
  <si>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</si>
  <si>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</si>
  <si>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</si>
  <si>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</si>
  <si>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</si>
  <si>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</si>
  <si>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</si>
  <si>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</si>
  <si>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</si>
  <si>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</si>
  <si>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</si>
  <si>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</si>
  <si>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</si>
  <si>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</si>
  <si>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</si>
  <si>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</si>
  <si>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</si>
  <si>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</si>
  <si>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</si>
  <si>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</si>
  <si>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</si>
  <si>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</si>
  <si>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</si>
  <si>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</si>
  <si>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</si>
  <si>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</si>
  <si>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</si>
  <si>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</si>
  <si>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</si>
  <si>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</si>
  <si>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</si>
  <si>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</si>
  <si>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</si>
  <si>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</si>
  <si>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</si>
  <si>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</si>
  <si>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</si>
  <si>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</si>
  <si>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</si>
  <si>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</si>
  <si>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</si>
  <si>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</si>
  <si>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</si>
  <si>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</si>
  <si>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</si>
  <si>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</si>
  <si>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</si>
  <si>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</si>
  <si>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</si>
  <si>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</si>
  <si>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</si>
  <si>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</si>
  <si>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</si>
  <si>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</si>
  <si>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</si>
  <si>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</si>
  <si>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</si>
  <si>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</si>
  <si>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</si>
  <si>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</si>
  <si>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</si>
  <si>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</si>
  <si>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</si>
  <si>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</si>
  <si>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</si>
  <si>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</si>
  <si>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</si>
  <si>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</si>
  <si>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</si>
  <si>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</si>
  <si>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</si>
  <si>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</si>
  <si>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</si>
  <si>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</si>
  <si>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</si>
  <si>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</si>
  <si>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</si>
  <si>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</si>
  <si>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</si>
  <si>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</si>
  <si>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</si>
  <si>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</si>
  <si>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</si>
  <si>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</si>
  <si>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</si>
  <si>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</si>
  <si>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</si>
  <si>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</si>
  <si>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</si>
  <si>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</si>
  <si>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</si>
  <si>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</si>
  <si>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</si>
  <si>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</si>
  <si>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</si>
  <si>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</si>
  <si>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</si>
  <si>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</si>
  <si>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</si>
  <si>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</si>
  <si>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</si>
  <si>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</si>
  <si>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</si>
  <si>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</si>
  <si>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</si>
  <si>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</si>
  <si>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</si>
  <si>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</si>
  <si>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</si>
  <si>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</si>
  <si>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</si>
  <si>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</si>
  <si>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</si>
  <si>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</si>
  <si>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</si>
  <si>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</si>
  <si>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</si>
  <si>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</si>
  <si>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</si>
  <si>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</si>
  <si>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</si>
  <si>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</si>
  <si>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</si>
  <si>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</si>
  <si>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</si>
  <si>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</si>
  <si>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</si>
  <si>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</si>
  <si>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</si>
  <si>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</si>
  <si>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</si>
  <si>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</si>
  <si>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</si>
  <si>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</si>
  <si>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</si>
  <si>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</si>
  <si>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</si>
  <si>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</si>
  <si>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</si>
  <si>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</si>
  <si>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</si>
  <si>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</si>
  <si>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</si>
  <si>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</si>
  <si>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</si>
  <si>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</si>
  <si>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</si>
  <si>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</si>
  <si>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</si>
  <si>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</si>
  <si>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</si>
  <si>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</si>
  <si>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</si>
  <si>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</si>
  <si>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</si>
  <si>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</si>
  <si>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</si>
  <si>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</si>
  <si>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</si>
  <si>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</si>
  <si>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</si>
  <si>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</si>
  <si>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</si>
  <si>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</si>
  <si>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</si>
  <si>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</si>
  <si>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</si>
  <si>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</si>
  <si>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</si>
  <si>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</si>
  <si>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</si>
  <si>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</si>
  <si>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</si>
  <si>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</si>
  <si>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</si>
  <si>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</si>
  <si>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</si>
  <si>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</si>
  <si>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</si>
  <si>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</si>
  <si>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</si>
  <si>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</si>
  <si>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</si>
  <si>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</si>
  <si>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</si>
  <si>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</si>
  <si>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</si>
  <si>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</si>
  <si>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</si>
  <si>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</si>
  <si>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</si>
  <si>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</si>
  <si>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</si>
  <si>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</si>
  <si>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</si>
  <si>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</si>
  <si>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</si>
  <si>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</si>
  <si>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</si>
  <si>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</si>
  <si>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</si>
  <si>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</si>
  <si>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</si>
  <si>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</si>
  <si>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</si>
  <si>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</si>
  <si>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</si>
  <si>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</si>
  <si>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</si>
  <si>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</si>
  <si>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</si>
  <si>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</si>
  <si>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</si>
  <si>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</si>
  <si>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</si>
  <si>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</si>
  <si>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</si>
  <si>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</si>
  <si>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</si>
  <si>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</si>
  <si>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</si>
  <si>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</si>
  <si>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</si>
  <si>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</si>
  <si>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</si>
  <si>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</si>
  <si>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</si>
  <si>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</si>
  <si>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</si>
  <si>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</si>
  <si>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</si>
  <si>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</si>
  <si>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</si>
  <si>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</si>
  <si>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</si>
  <si>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</si>
  <si>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</si>
  <si>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</si>
  <si>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</si>
  <si>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</si>
  <si>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</si>
  <si>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</si>
  <si>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</si>
  <si>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</si>
  <si>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</si>
  <si>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</si>
  <si>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</si>
  <si>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</si>
  <si>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</si>
  <si>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</si>
  <si>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</si>
  <si>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</si>
  <si>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</si>
  <si>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</si>
  <si>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</si>
  <si>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</si>
  <si>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</si>
  <si>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</si>
  <si>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</si>
  <si>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</si>
  <si>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</si>
  <si>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</si>
  <si>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</si>
  <si>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</si>
  <si>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</si>
  <si>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</si>
  <si>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</si>
  <si>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</si>
  <si>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</si>
  <si>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</si>
  <si>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</si>
  <si>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</si>
  <si>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</si>
  <si>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</si>
  <si>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</si>
  <si>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</si>
  <si>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</si>
  <si>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</si>
  <si>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</si>
  <si>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</si>
  <si>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</si>
  <si>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</si>
  <si>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</si>
  <si>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</si>
  <si>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</si>
  <si>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</si>
  <si>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</si>
  <si>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</si>
  <si>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</si>
  <si>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</si>
  <si>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</si>
  <si>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</si>
  <si>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</si>
  <si>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</si>
  <si>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</si>
  <si>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</si>
  <si>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</si>
  <si>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</si>
  <si>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</si>
  <si>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</si>
  <si>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</si>
  <si>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</si>
  <si>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</si>
  <si>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</si>
  <si>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</si>
  <si>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</si>
  <si>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</si>
  <si>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</si>
  <si>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</si>
  <si>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</si>
  <si>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</si>
  <si>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</si>
  <si>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</si>
  <si>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</si>
  <si>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</si>
  <si>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</si>
  <si>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</si>
  <si>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</si>
  <si>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</si>
  <si>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</si>
  <si>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</si>
  <si>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</si>
  <si>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</si>
  <si>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</si>
  <si>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</si>
  <si>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</si>
  <si>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</si>
  <si>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</si>
  <si>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</si>
  <si>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</si>
  <si>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</si>
  <si>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</si>
  <si>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</si>
  <si>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</si>
  <si>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</si>
  <si>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</si>
  <si>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</si>
  <si>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</si>
  <si>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</si>
  <si>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</si>
  <si>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</si>
  <si>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</si>
  <si>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</si>
  <si>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</si>
  <si>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</si>
  <si>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</si>
  <si>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</si>
  <si>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</si>
  <si>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</si>
  <si>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</si>
  <si>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</si>
  <si>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</si>
  <si>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</si>
  <si>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</si>
  <si>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</si>
  <si>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</si>
  <si>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</si>
  <si>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</si>
  <si>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</si>
  <si>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</si>
  <si>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</si>
  <si>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</si>
  <si>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</si>
  <si>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</si>
  <si>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</si>
  <si>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</si>
  <si>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</si>
  <si>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</si>
  <si>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</si>
  <si>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</si>
  <si>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</si>
  <si>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</si>
  <si>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</si>
  <si>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</si>
  <si>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</si>
  <si>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</si>
  <si>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</si>
  <si>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</si>
  <si>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</si>
  <si>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</si>
  <si>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</si>
  <si>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</si>
  <si>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</si>
  <si>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</si>
  <si>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</si>
  <si>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</si>
  <si>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</si>
  <si>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</si>
  <si>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</si>
  <si>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</si>
  <si>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</si>
  <si>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</si>
  <si>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</si>
  <si>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</si>
  <si>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</si>
  <si>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</si>
  <si>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</si>
  <si>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</si>
  <si>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</si>
  <si>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</si>
  <si>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</si>
  <si>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</si>
  <si>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</si>
  <si>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</si>
  <si>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</si>
  <si>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</si>
  <si>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</si>
  <si>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</si>
  <si>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</si>
  <si>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</si>
  <si>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</si>
  <si>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</si>
  <si>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</si>
  <si>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</si>
  <si>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</si>
  <si>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</si>
  <si>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</si>
  <si>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</si>
  <si>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</si>
  <si>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</si>
  <si>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</si>
  <si>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</si>
  <si>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</si>
  <si>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</si>
  <si>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</si>
  <si>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</si>
  <si>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</si>
  <si>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</si>
  <si>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</si>
  <si>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</si>
  <si>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</si>
  <si>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</si>
  <si>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</si>
  <si>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</si>
  <si>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</si>
  <si>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</si>
  <si>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</si>
  <si>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</si>
  <si>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</si>
  <si>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</si>
  <si>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</si>
  <si>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</si>
  <si>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</si>
  <si>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</si>
  <si>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</si>
  <si>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</si>
  <si>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</si>
  <si>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</si>
  <si>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</si>
  <si>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</si>
  <si>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</si>
  <si>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</si>
  <si>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</si>
  <si>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</si>
  <si>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</si>
  <si>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</si>
  <si>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</si>
  <si>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</si>
  <si>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</si>
  <si>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</si>
  <si>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</si>
  <si>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</si>
  <si>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</si>
  <si>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</si>
  <si>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</si>
  <si>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</si>
  <si>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</si>
  <si>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</si>
  <si>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</si>
  <si>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</si>
  <si>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</si>
  <si>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</si>
  <si>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</si>
  <si>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</si>
  <si>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</si>
  <si>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</si>
  <si>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</si>
  <si>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</si>
  <si>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</si>
  <si>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</si>
  <si>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</si>
  <si>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</si>
  <si>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</si>
  <si>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</si>
  <si>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</si>
  <si>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</si>
  <si>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</si>
  <si>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</si>
  <si>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</si>
  <si>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</si>
  <si>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</si>
  <si>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</si>
  <si>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</si>
  <si>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</si>
  <si>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</si>
  <si>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</si>
  <si>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</si>
  <si>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</si>
  <si>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</si>
  <si>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</si>
  <si>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</si>
  <si>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</si>
  <si>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</si>
  <si>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</si>
  <si>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</si>
  <si>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</si>
  <si>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</si>
  <si>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</si>
  <si>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</si>
  <si>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</si>
  <si>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</si>
  <si>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</si>
  <si>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</si>
  <si>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</si>
  <si>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</si>
  <si>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</si>
  <si>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</si>
  <si>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</si>
  <si>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</si>
  <si>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</si>
  <si>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</si>
  <si>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</si>
  <si>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</si>
  <si>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</si>
  <si>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</si>
  <si>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</si>
  <si>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</si>
  <si>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</si>
  <si>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</si>
  <si>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</si>
  <si>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</si>
  <si>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</si>
  <si>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</si>
  <si>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</si>
  <si>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</si>
  <si>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</si>
  <si>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</si>
  <si>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</si>
  <si>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</si>
  <si>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</si>
  <si>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</si>
  <si>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</si>
  <si>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</si>
  <si>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</si>
  <si>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</si>
  <si>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</si>
  <si>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</si>
  <si>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</si>
  <si>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</si>
  <si>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</si>
  <si>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</si>
  <si>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</si>
  <si>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</si>
  <si>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</si>
  <si>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</si>
  <si>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</si>
  <si>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</si>
  <si>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</si>
  <si>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</si>
  <si>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</si>
  <si>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</si>
  <si>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</si>
  <si>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</si>
  <si>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</si>
  <si>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</si>
  <si>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</si>
  <si>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</si>
  <si>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</si>
  <si>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</si>
  <si>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</si>
  <si>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</si>
  <si>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</si>
  <si>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</si>
  <si>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</si>
  <si>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</si>
  <si>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</si>
  <si>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</si>
  <si>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</si>
  <si>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</si>
  <si>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</si>
  <si>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</si>
  <si>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</si>
  <si>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</si>
  <si>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</si>
  <si>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</si>
  <si>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</si>
  <si>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</si>
  <si>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</si>
  <si>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</si>
  <si>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</si>
  <si>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</si>
  <si>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</si>
  <si>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</si>
  <si>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</si>
  <si>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</si>
  <si>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</si>
  <si>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</si>
  <si>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</si>
  <si>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</si>
  <si>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</si>
  <si>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</si>
  <si>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</si>
  <si>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</si>
  <si>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</si>
  <si>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</si>
  <si>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</si>
  <si>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</si>
  <si>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</si>
  <si>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</si>
  <si>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</si>
  <si>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</si>
  <si>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</si>
  <si>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</si>
  <si>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</si>
  <si>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</si>
  <si>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</si>
  <si>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</si>
  <si>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</si>
  <si>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</si>
  <si>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</si>
  <si>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</si>
  <si>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</si>
  <si>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</si>
  <si>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</si>
  <si>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</si>
  <si>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</si>
  <si>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</si>
  <si>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</si>
  <si>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</si>
  <si>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</si>
  <si>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</si>
  <si>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</si>
  <si>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</si>
  <si>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</si>
  <si>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</si>
  <si>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</si>
  <si>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</si>
  <si>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</si>
  <si>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</si>
  <si>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</si>
  <si>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</si>
  <si>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</si>
  <si>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</si>
  <si>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</si>
  <si>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</si>
  <si>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</si>
  <si>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</si>
  <si>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</si>
  <si>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</si>
  <si>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</si>
  <si>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</si>
  <si>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</si>
  <si>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</si>
  <si>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</si>
  <si>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</si>
  <si>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</si>
  <si>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</si>
  <si>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</si>
  <si>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</si>
  <si>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</si>
  <si>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</si>
  <si>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</si>
  <si>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</si>
  <si>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</si>
  <si>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</si>
  <si>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</si>
  <si>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</si>
  <si>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</si>
  <si>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</si>
  <si>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</si>
  <si>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</si>
  <si>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</si>
  <si>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</si>
  <si>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</si>
  <si>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</si>
  <si>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</si>
  <si>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</si>
  <si>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</si>
  <si>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</si>
  <si>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</si>
  <si>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</si>
  <si>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</si>
  <si>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</si>
  <si>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</si>
  <si>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</si>
  <si>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</si>
  <si>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</si>
  <si>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</si>
  <si>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</si>
  <si>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</si>
  <si>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</si>
  <si>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</si>
  <si>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</si>
  <si>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</si>
  <si>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</si>
  <si>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</si>
  <si>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</si>
  <si>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</si>
  <si>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</si>
  <si>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</si>
  <si>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</si>
  <si>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</si>
  <si>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</si>
  <si>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</si>
  <si>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</si>
  <si>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</si>
  <si>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</si>
  <si>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</si>
  <si>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</si>
  <si>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</si>
  <si>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</si>
  <si>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</si>
  <si>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</si>
  <si>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</si>
  <si>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</si>
  <si>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</si>
  <si>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</si>
  <si>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</si>
  <si>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</si>
  <si>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</si>
  <si>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</si>
  <si>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</si>
  <si>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</si>
  <si>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</si>
  <si>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</si>
  <si>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</si>
  <si>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</si>
  <si>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</si>
  <si>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</si>
  <si>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</si>
  <si>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</si>
  <si>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</si>
  <si>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</si>
  <si>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</si>
  <si>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</si>
  <si>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</si>
  <si>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</si>
  <si>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</si>
  <si>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</si>
  <si>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</si>
  <si>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</si>
  <si>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</si>
  <si>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</si>
  <si>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</si>
  <si>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</si>
  <si>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</si>
  <si>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</si>
  <si>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</si>
  <si>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</si>
  <si>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</si>
  <si>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</si>
  <si>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</si>
  <si>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</si>
  <si>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</si>
  <si>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</si>
  <si>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</si>
  <si>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</si>
  <si>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</si>
  <si>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</si>
  <si>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</si>
  <si>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</si>
  <si>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</si>
  <si>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</si>
  <si>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</si>
  <si>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</si>
  <si>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</si>
  <si>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</si>
  <si>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</si>
  <si>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</si>
  <si>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</si>
  <si>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</si>
  <si>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</si>
  <si>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</si>
  <si>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</si>
  <si>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</si>
  <si>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</si>
  <si>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</si>
  <si>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</si>
  <si>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</si>
  <si>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</si>
  <si>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</si>
  <si>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</si>
  <si>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</si>
  <si>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</si>
  <si>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</si>
  <si>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</si>
  <si>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</si>
  <si>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</si>
  <si>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</si>
  <si>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</si>
  <si>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</si>
  <si>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</si>
  <si>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</si>
  <si>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</si>
  <si>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</si>
  <si>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</si>
  <si>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</si>
  <si>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</si>
  <si>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</si>
  <si>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</si>
  <si>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</si>
  <si>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</si>
  <si>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</si>
  <si>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</si>
  <si>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</si>
  <si>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</si>
  <si>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</si>
  <si>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</si>
  <si>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</si>
  <si>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</si>
  <si>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</si>
  <si>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</si>
  <si>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</si>
  <si>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</si>
  <si>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</si>
  <si>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</si>
  <si>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</si>
  <si>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</si>
  <si>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</si>
  <si>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</si>
  <si>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</si>
  <si>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</si>
  <si>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</si>
  <si>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</si>
  <si>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</si>
  <si>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</si>
  <si>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</si>
  <si>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</si>
  <si>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</si>
  <si>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</si>
  <si>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</si>
  <si>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</si>
  <si>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</si>
  <si>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</si>
  <si>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</si>
  <si>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</si>
  <si>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</si>
  <si>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</si>
  <si>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</si>
  <si>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</si>
  <si>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</si>
  <si>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</si>
  <si>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</si>
  <si>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</si>
  <si>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</si>
  <si>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</si>
  <si>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</si>
  <si>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</si>
  <si>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</si>
  <si>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</si>
  <si>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</si>
  <si>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</si>
  <si>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</si>
  <si>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</si>
  <si>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</si>
  <si>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</si>
  <si>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</si>
  <si>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</si>
  <si>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</si>
  <si>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</si>
  <si>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</si>
  <si>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</si>
  <si>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</si>
  <si>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</si>
  <si>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</si>
  <si>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</si>
  <si>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</si>
  <si>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</si>
  <si>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</si>
  <si>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</si>
  <si>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</si>
  <si>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</si>
  <si>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</si>
  <si>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</si>
  <si>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</si>
  <si>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</si>
  <si>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</si>
  <si>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</si>
  <si>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</si>
  <si>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</si>
  <si>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</si>
  <si>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</si>
  <si>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</si>
  <si>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</si>
  <si>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</si>
  <si>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</si>
  <si>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</si>
  <si>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</si>
  <si>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</si>
  <si>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</si>
  <si>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</si>
  <si>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</si>
  <si>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</si>
  <si>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</si>
  <si>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</si>
  <si>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</si>
  <si>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</si>
  <si>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</si>
  <si>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</si>
  <si>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</si>
  <si>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</si>
  <si>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</si>
  <si>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</si>
  <si>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</si>
  <si>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</si>
  <si>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</si>
  <si>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</si>
  <si>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</si>
  <si>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</si>
  <si>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</si>
  <si>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</si>
  <si>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</si>
  <si>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</si>
  <si>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</si>
  <si>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</si>
  <si>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</si>
  <si>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</si>
  <si>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</si>
  <si>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</si>
  <si>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</si>
  <si>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</si>
  <si>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</si>
  <si>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</si>
  <si>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</si>
  <si>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</si>
  <si>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</si>
  <si>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</si>
  <si>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</si>
  <si>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</si>
  <si>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</si>
  <si>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</si>
  <si>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</si>
  <si>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</si>
  <si>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</si>
  <si>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</si>
  <si>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</si>
  <si>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</si>
  <si>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</si>
  <si>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</si>
  <si>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</si>
  <si>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</si>
  <si>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</si>
  <si>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</si>
  <si>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</si>
  <si>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</si>
  <si>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</si>
  <si>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</si>
  <si>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</si>
  <si>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</si>
  <si>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</si>
  <si>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</si>
  <si>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</si>
  <si>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</si>
  <si>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</si>
  <si>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</si>
  <si>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</si>
  <si>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</si>
  <si>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</si>
  <si>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</si>
  <si>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</si>
  <si>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</si>
  <si>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</si>
  <si>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</si>
  <si>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</si>
  <si>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</si>
  <si>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</si>
  <si>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</si>
  <si>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</si>
  <si>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</si>
  <si>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</si>
  <si>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</si>
  <si>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</si>
  <si>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</si>
  <si>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</si>
  <si>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</si>
  <si>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</si>
  <si>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</si>
  <si>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</si>
  <si>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</si>
  <si>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</si>
  <si>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</si>
  <si>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</si>
  <si>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</si>
  <si>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</si>
  <si>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</si>
  <si>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</si>
  <si>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</si>
  <si>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</si>
  <si>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</si>
  <si>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</si>
  <si>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</si>
  <si>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</si>
  <si>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</si>
  <si>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</si>
  <si>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</si>
  <si>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</si>
  <si>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</si>
  <si>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</si>
  <si>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</si>
  <si>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</si>
  <si>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</si>
  <si>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</si>
  <si>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</si>
  <si>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</si>
  <si>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</si>
  <si>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</si>
  <si>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</si>
  <si>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</si>
  <si>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</si>
  <si>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</si>
  <si>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</si>
  <si>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</si>
  <si>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</si>
  <si>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</si>
  <si>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</si>
  <si>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</si>
  <si>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</si>
  <si>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</si>
  <si>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</si>
  <si>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</si>
  <si>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</si>
  <si>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</si>
  <si>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</si>
  <si>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</si>
  <si>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</si>
  <si>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</si>
  <si>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</si>
  <si>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</si>
  <si>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</si>
  <si>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</si>
  <si>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</si>
  <si>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</si>
  <si>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</si>
  <si>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</si>
  <si>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</si>
  <si>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</si>
  <si>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</si>
  <si>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</si>
  <si>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</si>
  <si>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</si>
  <si>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</si>
  <si>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</si>
  <si>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</si>
  <si>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</si>
  <si>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</si>
  <si>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</si>
  <si>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</si>
  <si>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</si>
  <si>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</si>
  <si>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</si>
  <si>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</si>
  <si>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</si>
  <si>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</si>
  <si>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</si>
  <si>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</si>
  <si>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</si>
  <si>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</si>
  <si>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</si>
  <si>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</si>
  <si>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</si>
  <si>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</si>
  <si>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</si>
  <si>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</si>
  <si>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</si>
  <si>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</si>
  <si>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</si>
  <si>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</si>
  <si>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</si>
  <si>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</si>
  <si>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</si>
  <si>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</si>
  <si>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</si>
  <si>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</si>
  <si>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</si>
  <si>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</si>
  <si>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</si>
  <si>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</si>
  <si>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</si>
  <si>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</si>
  <si>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</si>
  <si>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</si>
  <si>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</si>
  <si>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</si>
  <si>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</si>
  <si>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</si>
  <si>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</si>
  <si>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</si>
  <si>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</si>
  <si>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</si>
  <si>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</si>
  <si>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</si>
  <si>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</si>
  <si>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</si>
  <si>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</si>
  <si>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</si>
  <si>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</si>
  <si>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</si>
  <si>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</si>
  <si>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</si>
  <si>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</si>
  <si>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</si>
  <si>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</si>
  <si>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</si>
  <si>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</si>
  <si>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</si>
  <si>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</si>
  <si>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</si>
  <si>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</si>
  <si>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</si>
  <si>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</si>
  <si>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</si>
  <si>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</si>
  <si>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</si>
  <si>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</si>
  <si>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</si>
  <si>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</si>
  <si>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</si>
  <si>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</si>
  <si>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</si>
  <si>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</si>
  <si>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</si>
  <si>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</si>
  <si>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</si>
  <si>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</si>
  <si>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</si>
  <si>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</si>
  <si>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</si>
  <si>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</si>
  <si>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</si>
  <si>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</si>
  <si>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</si>
  <si>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</si>
  <si>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</si>
  <si>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</si>
  <si>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</si>
  <si>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</si>
  <si>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</si>
  <si>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</si>
  <si>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</si>
  <si>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</si>
  <si>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</si>
  <si>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</si>
  <si>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</si>
  <si>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</si>
  <si>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</si>
  <si>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</si>
  <si>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</si>
  <si>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</si>
  <si>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</si>
  <si>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</si>
  <si>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</si>
  <si>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</si>
  <si>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</si>
  <si>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</si>
  <si>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</si>
  <si>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</si>
  <si>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</si>
  <si>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</si>
  <si>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</si>
  <si>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</si>
  <si>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</si>
  <si>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</si>
  <si>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</si>
  <si>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</si>
  <si>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</si>
  <si>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</si>
  <si>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</si>
  <si>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</si>
  <si>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</si>
  <si>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</si>
  <si>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</si>
  <si>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</si>
  <si>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</si>
  <si>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</si>
  <si>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</si>
  <si>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</si>
  <si>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</si>
  <si>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</si>
  <si>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</si>
  <si>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</si>
  <si>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</si>
  <si>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</si>
  <si>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</si>
  <si>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</si>
  <si>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</si>
  <si>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</si>
  <si>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</si>
  <si>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</si>
  <si>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</si>
  <si>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</si>
  <si>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</si>
  <si>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</si>
  <si>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</si>
  <si>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</si>
  <si>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</si>
  <si>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</si>
  <si>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</si>
  <si>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</si>
  <si>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</si>
  <si>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</si>
  <si>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</si>
  <si>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</si>
  <si>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</si>
  <si>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</si>
  <si>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</si>
  <si>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</si>
  <si>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</si>
  <si>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</si>
  <si>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</si>
  <si>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</si>
  <si>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</si>
  <si>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</si>
  <si>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</si>
  <si>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</si>
  <si>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</si>
  <si>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</si>
  <si>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</si>
  <si>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</si>
  <si>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</si>
  <si>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</si>
  <si>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</si>
  <si>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</si>
  <si>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</si>
  <si>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</si>
  <si>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</si>
  <si>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</si>
  <si>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</si>
  <si>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</si>
  <si>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</si>
  <si>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</si>
  <si>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</si>
  <si>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</si>
  <si>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</si>
  <si>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</si>
  <si>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</si>
  <si>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</si>
  <si>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</si>
  <si>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</si>
  <si>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</si>
  <si>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</si>
  <si>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</si>
  <si>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</si>
  <si>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</si>
  <si>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</si>
  <si>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</si>
  <si>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</si>
  <si>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</si>
  <si>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</si>
  <si>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</si>
  <si>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</si>
  <si>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</si>
  <si>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</si>
  <si>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</si>
  <si>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</si>
  <si>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</si>
  <si>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</si>
  <si>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</si>
  <si>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</si>
  <si>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</si>
  <si>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</si>
  <si>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</si>
  <si>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</si>
  <si>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</si>
  <si>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</si>
  <si>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</si>
  <si>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</si>
  <si>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</si>
  <si>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</si>
  <si>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</si>
  <si>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</si>
  <si>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</si>
  <si>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</si>
  <si>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</si>
  <si>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</si>
  <si>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</si>
  <si>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</si>
  <si>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</si>
  <si>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</si>
  <si>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</si>
  <si>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</si>
  <si>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</si>
  <si>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</si>
  <si>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</si>
  <si>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</si>
  <si>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</si>
  <si>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</si>
  <si>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</si>
  <si>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</si>
  <si>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</si>
  <si>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</si>
  <si>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</si>
  <si>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</si>
  <si>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</si>
  <si>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</si>
  <si>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</si>
  <si>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</si>
  <si>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</si>
  <si>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</si>
  <si>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</si>
  <si>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</si>
  <si>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</si>
  <si>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</si>
  <si>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</si>
  <si>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</si>
  <si>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</si>
  <si>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</si>
  <si>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</si>
  <si>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</si>
  <si>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</si>
  <si>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</si>
  <si>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</si>
  <si>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</si>
  <si>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</si>
  <si>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</si>
  <si>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</si>
  <si>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</si>
  <si>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</si>
  <si>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</si>
  <si>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</si>
  <si>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</si>
  <si>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</si>
  <si>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</si>
  <si>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</si>
  <si>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</si>
  <si>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</si>
  <si>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</si>
  <si>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</si>
  <si>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</si>
  <si>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</si>
  <si>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</si>
  <si>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</si>
  <si>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</si>
  <si>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</si>
  <si>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</si>
  <si>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</si>
  <si>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</si>
  <si>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</si>
  <si>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</si>
  <si>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</si>
  <si>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</si>
  <si>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</si>
  <si>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</si>
  <si>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</si>
  <si>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</si>
  <si>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</si>
  <si>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</si>
  <si>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</si>
  <si>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</si>
  <si>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</si>
  <si>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</si>
  <si>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</si>
  <si>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</si>
  <si>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</si>
  <si>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</si>
  <si>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</si>
  <si>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</si>
  <si>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</si>
  <si>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</si>
  <si>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</si>
  <si>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</si>
  <si>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</si>
  <si>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</si>
  <si>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</si>
  <si>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</si>
  <si>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</si>
  <si>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</si>
  <si>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</si>
  <si>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</si>
  <si>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</si>
  <si>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</si>
  <si>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</si>
  <si>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</si>
  <si>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</si>
  <si>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</si>
  <si>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</si>
  <si>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</si>
  <si>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</si>
  <si>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</si>
  <si>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</si>
  <si>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</si>
  <si>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</si>
  <si>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</si>
  <si>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</si>
  <si>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</si>
  <si>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</si>
  <si>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</si>
  <si>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</si>
  <si>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</si>
  <si>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</si>
  <si>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</si>
  <si>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</si>
  <si>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</si>
  <si>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</si>
  <si>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</si>
  <si>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</si>
  <si>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</si>
  <si>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</si>
  <si>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</si>
  <si>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</si>
  <si>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</si>
  <si>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</si>
  <si>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</si>
  <si>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</si>
  <si>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</si>
  <si>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</si>
  <si>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</si>
  <si>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</si>
  <si>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</si>
  <si>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</si>
  <si>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</si>
  <si>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</si>
  <si>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</si>
  <si>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</si>
  <si>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</si>
  <si>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</si>
  <si>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</si>
  <si>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</si>
  <si>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</si>
  <si>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</si>
  <si>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</si>
  <si>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</si>
  <si>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</si>
  <si>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</si>
  <si>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</si>
  <si>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</si>
  <si>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</si>
  <si>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</si>
  <si>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</si>
  <si>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</si>
  <si>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</si>
  <si>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</si>
  <si>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</si>
  <si>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</si>
  <si>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</si>
  <si>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</si>
  <si>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</si>
  <si>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</si>
  <si>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</si>
  <si>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</si>
  <si>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</si>
  <si>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</si>
  <si>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</si>
  <si>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</si>
  <si>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</si>
  <si>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</si>
  <si>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</si>
  <si>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</si>
  <si>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</si>
  <si>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</si>
  <si>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</si>
  <si>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</si>
  <si>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</si>
  <si>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</si>
  <si>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</si>
  <si>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</si>
  <si>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</si>
  <si>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</si>
  <si>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</si>
  <si>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</si>
  <si>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</si>
  <si>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</si>
  <si>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</si>
  <si>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</si>
  <si>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</si>
  <si>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</si>
  <si>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</si>
  <si>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</si>
  <si>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</si>
  <si>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</si>
  <si>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</si>
  <si>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</si>
  <si>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</si>
  <si>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</si>
  <si>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</si>
  <si>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</si>
  <si>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</si>
  <si>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</si>
  <si>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</si>
  <si>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</si>
  <si>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</si>
  <si>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</si>
  <si>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</si>
  <si>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</si>
  <si>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</si>
  <si>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</si>
  <si>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</si>
  <si>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</si>
  <si>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</si>
  <si>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</si>
  <si>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</si>
  <si>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</si>
  <si>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</si>
  <si>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</si>
  <si>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</si>
  <si>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</si>
  <si>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</si>
  <si>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</si>
  <si>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</si>
  <si>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</si>
  <si>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</si>
  <si>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</si>
  <si>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</si>
  <si>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</si>
  <si>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</si>
  <si>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</si>
  <si>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</si>
  <si>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</si>
  <si>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</si>
  <si>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</si>
  <si>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</si>
  <si>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</si>
  <si>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</si>
  <si>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</si>
  <si>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</si>
  <si>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</si>
  <si>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</si>
  <si>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</si>
  <si>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</si>
  <si>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</si>
  <si>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</si>
  <si>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</si>
  <si>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</si>
  <si>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</si>
  <si>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</si>
  <si>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</si>
  <si>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</si>
  <si>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</si>
  <si>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</si>
  <si>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</si>
  <si>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</si>
  <si>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</si>
  <si>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</si>
  <si>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</si>
  <si>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</si>
  <si>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</si>
  <si>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</si>
  <si>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</si>
  <si>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</si>
  <si>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</si>
  <si>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</si>
  <si>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</si>
  <si>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</si>
  <si>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</si>
  <si>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</si>
  <si>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</si>
  <si>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</si>
  <si>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</si>
  <si>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</si>
  <si>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</si>
  <si>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</si>
  <si>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</si>
  <si>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</si>
  <si>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</si>
  <si>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</si>
  <si>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</si>
  <si>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</si>
  <si>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</si>
  <si>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</si>
  <si>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</si>
  <si>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</si>
  <si>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</si>
  <si>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</si>
  <si>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</si>
  <si>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</si>
  <si>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</si>
  <si>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</si>
  <si>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</si>
  <si>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</si>
  <si>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</si>
  <si>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</si>
  <si>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</si>
  <si>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</si>
  <si>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</si>
  <si>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</si>
  <si>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</si>
  <si>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</si>
  <si>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</si>
  <si>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</si>
  <si>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</si>
  <si>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</si>
  <si>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</si>
  <si>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</si>
  <si>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</si>
  <si>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</si>
  <si>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</si>
  <si>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</si>
  <si>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</si>
  <si>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</si>
  <si>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</si>
  <si>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</si>
  <si>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</si>
  <si>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</si>
  <si>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</si>
  <si>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</si>
  <si>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</si>
  <si>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</si>
  <si>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</si>
  <si>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</si>
  <si>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</si>
  <si>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</si>
  <si>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</si>
  <si>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</si>
  <si>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</si>
  <si>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</si>
  <si>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</si>
  <si>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</si>
  <si>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</si>
  <si>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</si>
  <si>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</si>
  <si>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</si>
  <si>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</si>
  <si>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</si>
  <si>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</si>
  <si>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</si>
  <si>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</si>
  <si>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</si>
  <si>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</si>
  <si>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</si>
  <si>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</si>
  <si>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</si>
  <si>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</si>
  <si>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</si>
  <si>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</si>
  <si>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</si>
  <si>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</si>
  <si>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</si>
  <si>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</si>
  <si>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</si>
  <si>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</si>
  <si>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</si>
  <si>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</si>
  <si>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</si>
  <si>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</si>
  <si>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</si>
  <si>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</si>
  <si>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</si>
  <si>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</si>
  <si>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</si>
  <si>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</si>
  <si>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</si>
  <si>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</si>
  <si>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</si>
  <si>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</si>
  <si>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</si>
  <si>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</si>
  <si>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</si>
  <si>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</si>
  <si>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</si>
  <si>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</si>
  <si>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</si>
  <si>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</si>
  <si>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</si>
  <si>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</si>
  <si>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</si>
  <si>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</si>
  <si>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</si>
  <si>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</si>
  <si>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</si>
  <si>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</si>
  <si>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</si>
  <si>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</si>
  <si>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</si>
  <si>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</si>
  <si>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</si>
  <si>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</si>
  <si>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</si>
  <si>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</si>
  <si>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</si>
  <si>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</si>
  <si>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</si>
  <si>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</si>
  <si>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</si>
  <si>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</si>
  <si>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</si>
  <si>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</si>
  <si>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</si>
  <si>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</si>
  <si>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</si>
  <si>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</si>
  <si>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</si>
  <si>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</si>
  <si>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</si>
  <si>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</si>
  <si>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</si>
  <si>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</si>
  <si>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</si>
  <si>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</si>
  <si>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</si>
  <si>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</si>
  <si>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</si>
  <si>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</si>
  <si>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</si>
  <si>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</si>
  <si>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</si>
  <si>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</si>
  <si>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</si>
  <si>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</si>
  <si>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</si>
  <si>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</si>
  <si>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</si>
  <si>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</si>
  <si>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</si>
  <si>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</si>
  <si>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</si>
  <si>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</si>
  <si>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</si>
  <si>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</si>
  <si>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</si>
  <si>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</si>
  <si>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</si>
  <si>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</si>
  <si>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</si>
  <si>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</si>
  <si>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</si>
  <si>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</si>
  <si>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</si>
  <si>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</si>
  <si>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</si>
  <si>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</si>
  <si>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</si>
  <si>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</si>
  <si>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</si>
  <si>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</si>
  <si>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</si>
  <si>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</si>
  <si>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</si>
  <si>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</si>
  <si>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</si>
  <si>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</si>
  <si>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</si>
  <si>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</si>
  <si>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</si>
  <si>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</si>
  <si>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</si>
  <si>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</si>
  <si>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</si>
  <si>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</si>
  <si>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</si>
  <si>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</si>
  <si>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</si>
  <si>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</si>
  <si>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</si>
  <si>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</si>
  <si>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</si>
  <si>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</si>
  <si>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</si>
  <si>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</si>
  <si>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</si>
  <si>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</si>
  <si>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</si>
  <si>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</si>
  <si>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</si>
  <si>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</si>
  <si>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</si>
  <si>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</si>
  <si>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</si>
  <si>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</si>
  <si>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</si>
  <si>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</si>
  <si>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</si>
  <si>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</si>
  <si>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</si>
  <si>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</si>
  <si>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</si>
  <si>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</si>
  <si>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</si>
  <si>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</si>
  <si>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</si>
  <si>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</si>
  <si>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</si>
  <si>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</si>
  <si>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</si>
  <si>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</si>
  <si>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</si>
  <si>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</si>
  <si>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</si>
  <si>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</si>
  <si>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</si>
  <si>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</si>
  <si>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</si>
  <si>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</si>
  <si>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</si>
  <si>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</si>
  <si>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</si>
  <si>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</si>
  <si>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</si>
  <si>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</si>
  <si>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</si>
  <si>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</si>
  <si>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</si>
  <si>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</si>
  <si>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</si>
  <si>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</si>
  <si>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</si>
  <si>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</si>
  <si>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</si>
  <si>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</si>
  <si>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</si>
  <si>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</si>
  <si>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</si>
  <si>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</si>
  <si>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</si>
  <si>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</si>
  <si>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</si>
  <si>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</si>
  <si>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</si>
  <si>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</si>
  <si>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</si>
  <si>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</si>
  <si>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</si>
  <si>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</si>
  <si>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</si>
  <si>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</si>
  <si>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</si>
  <si>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</si>
  <si>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</si>
  <si>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</si>
  <si>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</si>
  <si>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</si>
  <si>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</si>
  <si>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</si>
  <si>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</si>
  <si>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</si>
  <si>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</si>
  <si>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</si>
  <si>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</si>
  <si>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</si>
  <si>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</si>
  <si>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</si>
  <si>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</si>
  <si>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</si>
  <si>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</si>
  <si>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</si>
  <si>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</si>
  <si>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</si>
  <si>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</si>
  <si>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</si>
  <si>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</si>
  <si>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</si>
  <si>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</si>
  <si>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</si>
  <si>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</si>
  <si>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</si>
  <si>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</si>
  <si>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</si>
  <si>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</si>
  <si>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</si>
  <si>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</si>
  <si>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</si>
  <si>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</si>
  <si>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</si>
  <si>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</si>
  <si>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</si>
  <si>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</si>
  <si>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</si>
  <si>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</si>
  <si>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</si>
  <si>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</si>
  <si>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</si>
  <si>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</si>
  <si>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</si>
  <si>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</si>
  <si>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</si>
  <si>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</si>
  <si>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</si>
  <si>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</si>
  <si>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</si>
  <si>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</si>
  <si>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</si>
  <si>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</si>
  <si>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</si>
  <si>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</si>
  <si>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</si>
  <si>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</si>
  <si>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</si>
  <si>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</si>
  <si>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</si>
  <si>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</si>
  <si>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</si>
  <si>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</si>
  <si>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</si>
  <si>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</si>
  <si>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</si>
  <si>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</si>
  <si>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</si>
  <si>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</si>
  <si>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</si>
  <si>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</si>
  <si>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</si>
  <si>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</si>
  <si>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</si>
  <si>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</si>
  <si>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</si>
  <si>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</si>
  <si>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</si>
  <si>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</si>
  <si>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</si>
  <si>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</si>
  <si>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</si>
  <si>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</si>
  <si>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</si>
  <si>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</si>
  <si>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</si>
  <si>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</si>
  <si>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</si>
  <si>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</si>
  <si>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</si>
  <si>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</si>
  <si>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</si>
  <si>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</si>
  <si>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</si>
  <si>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</si>
  <si>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</si>
  <si>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</si>
  <si>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</si>
  <si>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</si>
  <si>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</si>
  <si>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</si>
  <si>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</si>
  <si>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</si>
  <si>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</si>
  <si>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</si>
  <si>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</si>
  <si>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</si>
  <si>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</si>
  <si>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</si>
  <si>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</si>
  <si>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</si>
  <si>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</si>
  <si>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</si>
  <si>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</si>
  <si>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</si>
  <si>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</si>
  <si>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</si>
  <si>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</si>
  <si>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</si>
  <si>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</si>
  <si>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</si>
  <si>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</si>
  <si>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</si>
  <si>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</si>
  <si>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</si>
  <si>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</si>
  <si>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</si>
  <si>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</si>
  <si>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</si>
  <si>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</si>
  <si>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</si>
  <si>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</si>
  <si>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</si>
  <si>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</si>
  <si>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</si>
  <si>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</si>
  <si>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</si>
  <si>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</si>
  <si>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</si>
  <si>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</si>
  <si>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</si>
  <si>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</si>
  <si>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</si>
  <si>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</si>
  <si>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</si>
  <si>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</si>
  <si>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</si>
  <si>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</si>
  <si>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</si>
  <si>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</si>
  <si>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</si>
  <si>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</si>
  <si>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</si>
  <si>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</si>
  <si>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</si>
  <si>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</si>
  <si>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</si>
  <si>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</si>
  <si>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</si>
  <si>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</si>
  <si>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</si>
  <si>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</si>
  <si>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</si>
  <si>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</si>
  <si>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</si>
  <si>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</si>
  <si>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</si>
  <si>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</si>
  <si>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</si>
  <si>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</si>
  <si>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</si>
  <si>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</si>
  <si>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</si>
  <si>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</si>
  <si>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</si>
  <si>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</si>
  <si>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</si>
  <si>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</si>
  <si>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</si>
  <si>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</si>
  <si>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</si>
  <si>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</si>
  <si>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</si>
  <si>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</si>
  <si>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</si>
  <si>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</si>
  <si>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</si>
  <si>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</si>
  <si>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</si>
  <si>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</si>
  <si>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</si>
  <si>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</si>
  <si>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</si>
  <si>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</si>
  <si>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</si>
  <si>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</si>
  <si>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</si>
  <si>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</si>
  <si>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</si>
  <si>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</si>
  <si>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</si>
  <si>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</si>
  <si>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</si>
  <si>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</si>
  <si>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</si>
  <si>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</si>
  <si>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</si>
  <si>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</si>
  <si>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</si>
  <si>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</si>
  <si>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</si>
  <si>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</si>
  <si>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</si>
  <si>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</si>
  <si>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</si>
  <si>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</si>
  <si>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</si>
  <si>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</si>
  <si>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</si>
  <si>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</si>
  <si>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</si>
  <si>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</si>
  <si>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</si>
  <si>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</si>
  <si>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</si>
  <si>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</si>
  <si>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</si>
  <si>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</si>
  <si>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</si>
  <si>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</si>
  <si>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</si>
  <si>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</si>
  <si>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</si>
  <si>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</si>
  <si>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</si>
  <si>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</si>
  <si>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</si>
  <si>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</si>
  <si>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</si>
  <si>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</si>
  <si>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</si>
  <si>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</si>
  <si>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</si>
  <si>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</si>
  <si>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</si>
  <si>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</si>
  <si>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</si>
  <si>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</si>
  <si>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</si>
  <si>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</si>
  <si>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</si>
  <si>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</si>
  <si>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</si>
  <si>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</si>
  <si>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</si>
  <si>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</si>
  <si>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</si>
  <si>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</si>
  <si>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</si>
  <si>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</si>
  <si>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</si>
  <si>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</si>
  <si>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</si>
  <si>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</si>
  <si>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</si>
  <si>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</si>
  <si>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</si>
  <si>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</si>
  <si>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</si>
  <si>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</si>
  <si>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</si>
  <si>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</si>
  <si>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</si>
  <si>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</si>
  <si>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</si>
  <si>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</si>
  <si>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</si>
  <si>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</si>
  <si>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</si>
  <si>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</si>
  <si>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</si>
  <si>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</si>
  <si>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</si>
  <si>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</si>
  <si>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</si>
  <si>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</si>
  <si>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</si>
  <si>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</si>
  <si>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</si>
  <si>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</si>
  <si>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</si>
  <si>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</si>
  <si>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</si>
  <si>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</si>
  <si>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</si>
  <si>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</si>
  <si>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</si>
  <si>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</si>
  <si>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</si>
  <si>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</si>
  <si>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</si>
  <si>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</si>
  <si>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</si>
  <si>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</si>
  <si>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</si>
  <si>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</si>
  <si>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</si>
  <si>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</si>
  <si>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</si>
  <si>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</si>
  <si>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</si>
  <si>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</si>
  <si>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</si>
  <si>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</si>
  <si>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</si>
  <si>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</si>
  <si>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</si>
  <si>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</si>
  <si>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</si>
  <si>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</si>
  <si>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</si>
  <si>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</si>
  <si>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</si>
  <si>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</si>
  <si>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</si>
  <si>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</si>
  <si>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</si>
  <si>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</si>
  <si>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</si>
  <si>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</si>
  <si>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</si>
  <si>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</si>
  <si>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</si>
  <si>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</si>
  <si>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</si>
  <si>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</si>
  <si>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</si>
  <si>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</si>
  <si>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</si>
  <si>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</si>
  <si>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</si>
  <si>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</si>
  <si>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</si>
  <si>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</si>
  <si>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</si>
  <si>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</si>
  <si>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</si>
  <si>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</si>
  <si>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</si>
  <si>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</si>
  <si>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</si>
  <si>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</si>
  <si>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</si>
  <si>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</si>
  <si>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</si>
  <si>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</si>
  <si>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</si>
  <si>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</si>
  <si>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</si>
  <si>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</si>
  <si>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</si>
  <si>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</si>
  <si>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</si>
  <si>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</si>
  <si>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</si>
  <si>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</si>
  <si>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</si>
  <si>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</si>
  <si>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</si>
  <si>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</si>
  <si>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</si>
  <si>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</si>
  <si>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</si>
  <si>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</si>
  <si>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</si>
  <si>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</si>
  <si>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</si>
  <si>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</si>
  <si>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</si>
  <si>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</si>
  <si>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</si>
  <si>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</si>
  <si>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</si>
  <si>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</si>
  <si>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</si>
  <si>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</si>
  <si>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</si>
  <si>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</si>
  <si>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</si>
  <si>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</si>
  <si>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</si>
  <si>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</si>
  <si>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</si>
  <si>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</si>
  <si>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</si>
  <si>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</si>
  <si>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</si>
  <si>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</si>
  <si>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</si>
  <si>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</si>
  <si>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</si>
  <si>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</si>
  <si>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</si>
  <si>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</si>
  <si>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</si>
  <si>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</si>
  <si>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</si>
  <si>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</si>
  <si>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</si>
  <si>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</si>
  <si>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</si>
  <si>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</si>
  <si>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</si>
  <si>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</si>
  <si>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</si>
  <si>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</si>
  <si>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</si>
  <si>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</si>
  <si>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</si>
  <si>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</si>
  <si>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</si>
  <si>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</si>
  <si>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</si>
  <si>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</si>
  <si>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</si>
  <si>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</si>
  <si>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</si>
  <si>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</si>
  <si>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</si>
  <si>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</si>
  <si>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</si>
  <si>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</si>
  <si>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</si>
  <si>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</si>
  <si>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</si>
  <si>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</si>
  <si>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</si>
  <si>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</si>
  <si>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</si>
  <si>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</si>
  <si>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</si>
  <si>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</si>
  <si>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</si>
  <si>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</si>
  <si>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</si>
  <si>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</si>
  <si>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</si>
  <si>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</si>
  <si>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</si>
  <si>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</si>
  <si>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</si>
  <si>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</si>
  <si>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</si>
  <si>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</si>
  <si>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</si>
  <si>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</si>
  <si>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</si>
  <si>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</si>
  <si>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</si>
  <si>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</si>
  <si>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</si>
  <si>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</si>
  <si>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</si>
  <si>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</si>
  <si>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</si>
  <si>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</si>
  <si>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</si>
  <si>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</si>
  <si>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</si>
  <si>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</si>
  <si>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</si>
  <si>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</si>
  <si>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</si>
  <si>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</si>
  <si>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</si>
  <si>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</si>
  <si>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</si>
  <si>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</si>
  <si>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</si>
  <si>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</si>
  <si>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</si>
  <si>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</si>
  <si>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</si>
  <si>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</si>
  <si>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</si>
  <si>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</si>
  <si>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</si>
  <si>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</si>
  <si>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</si>
  <si>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</si>
  <si>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</si>
  <si>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</si>
  <si>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</si>
  <si>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</si>
  <si>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</si>
  <si>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</si>
  <si>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</si>
  <si>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</si>
  <si>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</si>
  <si>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</si>
  <si>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</si>
  <si>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</si>
  <si>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</si>
  <si>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</si>
  <si>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</si>
  <si>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</si>
  <si>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</si>
  <si>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</si>
  <si>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</si>
  <si>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</si>
  <si>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</si>
  <si>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</si>
  <si>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</si>
  <si>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</si>
  <si>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</si>
  <si>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</si>
  <si>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</si>
  <si>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</si>
  <si>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</si>
  <si>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</si>
  <si>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</si>
  <si>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</si>
  <si>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</si>
  <si>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</si>
  <si>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</si>
  <si>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</si>
  <si>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</si>
  <si>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</si>
  <si>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</si>
  <si>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</si>
  <si>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</si>
  <si>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</si>
  <si>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</si>
  <si>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</si>
  <si>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</si>
  <si>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</si>
  <si>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</si>
  <si>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</si>
  <si>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</si>
  <si>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</si>
  <si>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</si>
  <si>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</si>
  <si>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</si>
  <si>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</si>
  <si>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</si>
  <si>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</si>
  <si>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</si>
  <si>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</si>
  <si>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</si>
  <si>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</si>
  <si>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</si>
  <si>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</si>
  <si>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</si>
  <si>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</si>
  <si>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</si>
  <si>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</si>
  <si>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</si>
  <si>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</si>
  <si>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</si>
  <si>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</si>
  <si>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</si>
  <si>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</si>
  <si>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</si>
  <si>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</si>
  <si>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</si>
  <si>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</si>
  <si>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</si>
  <si>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</si>
  <si>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</si>
  <si>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</si>
  <si>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</si>
  <si>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</si>
  <si>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</si>
  <si>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</si>
  <si>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</si>
  <si>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</si>
  <si>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</si>
  <si>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</si>
  <si>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</si>
  <si>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</si>
  <si>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</si>
  <si>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</si>
  <si>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</si>
  <si>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</si>
  <si>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</si>
  <si>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</si>
  <si>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</si>
  <si>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</si>
  <si>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</si>
  <si>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</si>
  <si>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</si>
  <si>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</si>
  <si>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</si>
  <si>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</si>
  <si>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</si>
  <si>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</si>
  <si>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</si>
  <si>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</si>
  <si>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</si>
  <si>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</si>
  <si>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</si>
  <si>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</si>
  <si>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</si>
  <si>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</si>
  <si>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</si>
  <si>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</si>
  <si>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</si>
  <si>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</si>
  <si>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</si>
  <si>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</si>
  <si>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</si>
  <si>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</si>
  <si>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</si>
  <si>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</si>
  <si>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</si>
  <si>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</si>
  <si>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</si>
  <si>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</si>
  <si>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</si>
  <si>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</si>
  <si>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</si>
  <si>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</si>
  <si>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</si>
  <si>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</si>
  <si>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</si>
  <si>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</si>
  <si>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</si>
  <si>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</si>
  <si>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</si>
  <si>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</si>
  <si>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</si>
  <si>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</si>
  <si>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</si>
  <si>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</si>
  <si>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</si>
  <si>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</si>
  <si>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</si>
  <si>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</si>
  <si>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</si>
  <si>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</si>
  <si>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</si>
  <si>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</si>
  <si>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</si>
  <si>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</si>
  <si>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</si>
  <si>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</si>
  <si>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</si>
  <si>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</si>
  <si>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</si>
  <si>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</si>
  <si>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</si>
  <si>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</si>
  <si>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</si>
  <si>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</si>
  <si>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</si>
  <si>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</si>
  <si>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</si>
  <si>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</si>
  <si>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</si>
  <si>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</si>
  <si>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</si>
  <si>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</si>
  <si>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</si>
  <si>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</si>
  <si>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</si>
  <si>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</si>
  <si>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</si>
  <si>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</si>
  <si>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</si>
  <si>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</si>
  <si>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</si>
  <si>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</si>
  <si>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</si>
  <si>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</si>
  <si>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</si>
  <si>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</si>
  <si>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</si>
  <si>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</si>
  <si>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</si>
  <si>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</si>
  <si>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</si>
  <si>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</si>
  <si>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</si>
  <si>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</si>
  <si>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</si>
  <si>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</si>
  <si>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</si>
  <si>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</si>
  <si>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</si>
  <si>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</si>
  <si>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</si>
  <si>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</si>
  <si>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</si>
  <si>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</si>
  <si>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</si>
  <si>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</si>
  <si>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</si>
  <si>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</si>
  <si>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</si>
  <si>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</si>
  <si>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</si>
  <si>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</si>
  <si>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</si>
  <si>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</si>
  <si>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</si>
  <si>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</si>
  <si>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</si>
  <si>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</si>
  <si>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</si>
  <si>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</si>
  <si>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</si>
  <si>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</si>
  <si>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</si>
  <si>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</si>
  <si>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</si>
  <si>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</si>
  <si>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</si>
  <si>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</si>
  <si>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</si>
  <si>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</si>
  <si>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</si>
  <si>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</si>
  <si>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</si>
  <si>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</si>
  <si>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</si>
  <si>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</si>
  <si>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</si>
  <si>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</si>
  <si>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</si>
  <si>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</si>
  <si>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</si>
  <si>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</si>
  <si>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</si>
  <si>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</si>
  <si>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</si>
  <si>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</si>
  <si>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</si>
  <si>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</si>
  <si>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</si>
  <si>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</si>
  <si>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</si>
  <si>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</si>
  <si>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</si>
  <si>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</si>
  <si>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</si>
  <si>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</si>
  <si>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</si>
  <si>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</si>
  <si>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</si>
  <si>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</si>
  <si>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</si>
  <si>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</si>
  <si>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</si>
  <si>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</si>
  <si>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</si>
  <si>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</si>
  <si>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</si>
  <si>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</si>
  <si>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</si>
  <si>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</si>
  <si>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</si>
  <si>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</si>
  <si>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</si>
  <si>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</si>
  <si>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</si>
  <si>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</si>
  <si>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</si>
  <si>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</si>
  <si>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</si>
  <si>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</si>
  <si>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</si>
  <si>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</si>
  <si>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</si>
  <si>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</si>
  <si>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</si>
  <si>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</si>
  <si>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</si>
  <si>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</si>
  <si>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</si>
  <si>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</si>
  <si>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</si>
  <si>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</si>
  <si>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</si>
  <si>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</si>
  <si>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</si>
  <si>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</si>
  <si>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</si>
  <si>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</si>
  <si>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</si>
  <si>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</si>
  <si>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</si>
  <si>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</si>
  <si>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</si>
  <si>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</si>
  <si>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</si>
  <si>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</si>
  <si>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</si>
  <si>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</si>
  <si>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</si>
  <si>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</si>
  <si>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</si>
  <si>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</si>
  <si>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</si>
  <si>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</si>
  <si>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</si>
  <si>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</si>
  <si>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</si>
  <si>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</si>
  <si>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</si>
  <si>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</si>
  <si>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</si>
  <si>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</si>
  <si>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</si>
  <si>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</si>
  <si>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</si>
  <si>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</si>
  <si>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</si>
  <si>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</si>
  <si>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</si>
  <si>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</si>
  <si>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</si>
  <si>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</si>
  <si>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</si>
  <si>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</si>
  <si>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</si>
  <si>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</si>
  <si>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</si>
  <si>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</si>
  <si>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</si>
  <si>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</si>
  <si>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</si>
  <si>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</si>
  <si>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</si>
  <si>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</si>
  <si>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</si>
  <si>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</si>
  <si>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</si>
  <si>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</si>
  <si>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</si>
  <si>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</si>
  <si>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</si>
  <si>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</si>
  <si>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</si>
  <si>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</si>
  <si>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</si>
  <si>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</si>
  <si>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</si>
  <si>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</si>
  <si>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</si>
  <si>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</si>
  <si>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</si>
  <si>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</si>
  <si>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</si>
  <si>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</si>
  <si>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</si>
  <si>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</si>
  <si>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</si>
  <si>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</si>
  <si>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</si>
  <si>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</si>
  <si>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</si>
  <si>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</si>
  <si>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</si>
  <si>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</si>
  <si>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</si>
  <si>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</si>
  <si>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</si>
  <si>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</si>
  <si>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</si>
  <si>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</si>
  <si>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</si>
  <si>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</si>
  <si>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</si>
  <si>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</si>
  <si>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</si>
  <si>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</si>
  <si>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</si>
  <si>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</si>
  <si>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</si>
  <si>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</si>
  <si>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</si>
  <si>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</si>
  <si>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</si>
  <si>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</si>
  <si>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</si>
  <si>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</si>
  <si>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</si>
  <si>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</si>
  <si>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</si>
  <si>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</si>
  <si>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</si>
  <si>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</si>
  <si>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</si>
  <si>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</si>
  <si>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</si>
  <si>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</si>
  <si>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</si>
  <si>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</si>
  <si>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</si>
  <si>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</si>
  <si>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</si>
  <si>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</si>
  <si>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</si>
  <si>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</si>
  <si>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</si>
  <si>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</si>
  <si>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</si>
  <si>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</si>
  <si>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</si>
  <si>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</si>
  <si>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</si>
  <si>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</si>
  <si>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</si>
  <si>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</si>
  <si>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</si>
  <si>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</si>
  <si>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</si>
  <si>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</si>
  <si>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</si>
  <si>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</si>
  <si>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</si>
  <si>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</si>
  <si>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</si>
  <si>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</si>
  <si>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</si>
  <si>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</si>
  <si>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</si>
  <si>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</si>
  <si>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</si>
  <si>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</si>
  <si>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</si>
  <si>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</si>
  <si>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</si>
  <si>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</si>
  <si>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</si>
  <si>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</si>
  <si>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</si>
  <si>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</si>
  <si>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</si>
  <si>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</si>
  <si>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</si>
  <si>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</si>
  <si>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</si>
  <si>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</si>
  <si>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</si>
  <si>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</si>
  <si>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</si>
  <si>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</si>
  <si>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</si>
  <si>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</si>
  <si>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</si>
  <si>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</si>
  <si>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</si>
  <si>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</si>
  <si>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</si>
  <si>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</si>
  <si>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</si>
  <si>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</si>
  <si>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</si>
  <si>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</si>
  <si>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</si>
  <si>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</si>
  <si>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</si>
  <si>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</si>
  <si>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</si>
  <si>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</si>
  <si>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</si>
  <si>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</si>
  <si>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</si>
  <si>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</si>
  <si>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</si>
  <si>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</si>
  <si>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</si>
  <si>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</si>
  <si>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</si>
  <si>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</si>
  <si>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</si>
  <si>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</si>
  <si>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</si>
  <si>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</si>
  <si>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</si>
  <si>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</si>
  <si>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</si>
  <si>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</si>
  <si>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</si>
  <si>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</si>
  <si>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</si>
  <si>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</si>
  <si>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</si>
  <si>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</si>
  <si>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</si>
  <si>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</si>
  <si>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</si>
  <si>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</si>
  <si>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</si>
  <si>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</si>
  <si>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</si>
  <si>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</si>
  <si>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</si>
  <si>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</si>
  <si>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</si>
  <si>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</si>
  <si>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</si>
  <si>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</si>
  <si>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</si>
  <si>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</si>
  <si>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</si>
  <si>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</si>
  <si>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</si>
  <si>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</si>
  <si>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</si>
  <si>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</si>
  <si>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</si>
  <si>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</si>
  <si>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</si>
  <si>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</si>
  <si>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</si>
  <si>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</si>
  <si>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</si>
  <si>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</si>
  <si>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</si>
  <si>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</si>
  <si>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</si>
  <si>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</si>
  <si>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</si>
  <si>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</si>
  <si>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</si>
  <si>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</si>
  <si>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</si>
  <si>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</si>
  <si>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</si>
  <si>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</si>
  <si>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</si>
  <si>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</si>
  <si>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</si>
  <si>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</si>
  <si>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</si>
  <si>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</si>
  <si>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</si>
  <si>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</si>
  <si>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</si>
  <si>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</si>
  <si>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</si>
  <si>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</si>
  <si>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</si>
  <si>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</si>
  <si>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</si>
  <si>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</si>
  <si>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</si>
  <si>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</si>
  <si>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</si>
  <si>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</si>
  <si>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</si>
  <si>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</si>
  <si>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</si>
  <si>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</si>
  <si>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</si>
  <si>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</si>
  <si>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</si>
  <si>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</si>
  <si>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</si>
  <si>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</si>
  <si>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</si>
  <si>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</si>
  <si>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</si>
  <si>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</si>
  <si>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</si>
  <si>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</si>
  <si>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</si>
  <si>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</si>
  <si>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</si>
  <si>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</si>
  <si>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</si>
  <si>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</si>
  <si>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</si>
  <si>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</si>
  <si>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</si>
  <si>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</si>
  <si>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</si>
  <si>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</si>
  <si>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</si>
  <si>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</si>
  <si>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</si>
  <si>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</si>
  <si>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</si>
  <si>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</si>
  <si>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</si>
  <si>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</si>
  <si>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</si>
  <si>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</si>
  <si>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</si>
  <si>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</si>
  <si>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</si>
  <si>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</si>
  <si>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</si>
  <si>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</si>
  <si>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</si>
  <si>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</si>
  <si>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</si>
  <si>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</si>
  <si>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</si>
  <si>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</si>
  <si>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</si>
  <si>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</si>
  <si>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</si>
  <si>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</si>
  <si>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</si>
  <si>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</si>
  <si>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</si>
  <si>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</si>
  <si>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</si>
  <si>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</si>
  <si>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</si>
  <si>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</si>
  <si>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</si>
  <si>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</si>
  <si>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</si>
  <si>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</si>
  <si>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</si>
  <si>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</si>
  <si>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</si>
  <si>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</si>
  <si>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</si>
  <si>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</si>
  <si>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</si>
  <si>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</si>
  <si>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</si>
  <si>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</si>
  <si>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</si>
  <si>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</si>
  <si>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</si>
  <si>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</si>
  <si>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</si>
  <si>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</si>
  <si>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</si>
  <si>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</si>
  <si>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</si>
  <si>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</si>
  <si>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</si>
  <si>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</si>
  <si>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</si>
  <si>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</si>
  <si>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</si>
  <si>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</si>
  <si>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</si>
  <si>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</si>
  <si>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</si>
  <si>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</si>
  <si>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</si>
  <si>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</si>
  <si>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</si>
  <si>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</si>
  <si>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</si>
  <si>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</si>
  <si>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</si>
  <si>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</si>
  <si>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</si>
  <si>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</si>
  <si>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</si>
  <si>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</si>
  <si>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</si>
  <si>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</si>
  <si>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</si>
  <si>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</si>
  <si>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</si>
  <si>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</si>
  <si>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</si>
  <si>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</si>
  <si>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</si>
  <si>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</si>
  <si>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</si>
  <si>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</si>
  <si>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</si>
  <si>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</si>
  <si>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</si>
  <si>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</si>
  <si>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</si>
  <si>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</si>
  <si>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</si>
  <si>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</si>
  <si>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</si>
  <si>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</si>
  <si>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</si>
  <si>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</si>
  <si>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</si>
  <si>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</si>
  <si>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</si>
  <si>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</si>
  <si>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</si>
  <si>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</si>
  <si>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</si>
  <si>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</si>
  <si>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</si>
  <si>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</si>
  <si>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</si>
  <si>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</si>
  <si>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</si>
  <si>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</si>
  <si>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</si>
  <si>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</si>
  <si>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</si>
  <si>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</si>
  <si>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</si>
  <si>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</si>
  <si>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</si>
  <si>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</si>
  <si>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</si>
  <si>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</si>
  <si>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</si>
  <si>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</si>
  <si>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</si>
  <si>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</si>
  <si>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</si>
  <si>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</si>
  <si>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</si>
  <si>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</si>
  <si>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</si>
  <si>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</si>
  <si>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</si>
  <si>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</si>
  <si>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</si>
  <si>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</si>
  <si>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</si>
  <si>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</si>
  <si>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</si>
  <si>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</si>
  <si>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</si>
  <si>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</si>
  <si>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</si>
  <si>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</si>
  <si>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</si>
  <si>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</si>
  <si>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</si>
  <si>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</si>
  <si>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</si>
  <si>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</si>
  <si>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</si>
  <si>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</si>
  <si>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</si>
  <si>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</si>
  <si>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</si>
  <si>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</si>
  <si>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</si>
  <si>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</si>
  <si>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</si>
  <si>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</si>
  <si>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</si>
  <si>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</si>
  <si>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</si>
  <si>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</si>
  <si>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</si>
  <si>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</si>
  <si>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</si>
  <si>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</si>
  <si>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</si>
  <si>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</si>
  <si>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</si>
  <si>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</si>
  <si>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</si>
  <si>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</si>
  <si>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</si>
  <si>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</si>
  <si>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</si>
  <si>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</si>
  <si>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</si>
  <si>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</si>
  <si>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</si>
  <si>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</si>
  <si>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</si>
  <si>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</si>
  <si>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</si>
  <si>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</si>
  <si>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</si>
  <si>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</si>
  <si>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</si>
  <si>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</si>
  <si>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</si>
  <si>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</si>
  <si>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</si>
  <si>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</si>
  <si>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</si>
  <si>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</si>
  <si>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</si>
  <si>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</si>
  <si>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</si>
  <si>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</si>
  <si>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</si>
  <si>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</si>
  <si>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</si>
  <si>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</si>
  <si>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</si>
  <si>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</si>
  <si>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</si>
  <si>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</si>
  <si>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</si>
  <si>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</si>
  <si>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</si>
  <si>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</si>
  <si>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</si>
  <si>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</si>
  <si>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</si>
  <si>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</si>
  <si>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</si>
  <si>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</si>
  <si>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</si>
  <si>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</si>
  <si>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</si>
  <si>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</si>
  <si>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</si>
  <si>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</si>
  <si>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</si>
  <si>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</si>
  <si>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</si>
  <si>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</si>
  <si>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</si>
  <si>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</si>
  <si>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</si>
  <si>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</si>
  <si>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</si>
  <si>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</si>
  <si>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</si>
  <si>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</si>
  <si>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</si>
  <si>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</si>
  <si>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</si>
  <si>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</si>
  <si>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</si>
  <si>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</si>
  <si>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</si>
  <si>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</si>
  <si>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</si>
  <si>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</si>
  <si>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</si>
  <si>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</si>
  <si>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</si>
  <si>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</si>
  <si>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</si>
  <si>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</si>
  <si>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</si>
  <si>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</si>
  <si>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</si>
  <si>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</si>
  <si>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</si>
  <si>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</si>
  <si>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</si>
  <si>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</si>
  <si>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</si>
  <si>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</si>
  <si>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</si>
  <si>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</si>
  <si>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</si>
  <si>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</si>
  <si>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</si>
  <si>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</si>
  <si>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</si>
  <si>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</si>
  <si>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</si>
  <si>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</si>
  <si>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</si>
  <si>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</si>
  <si>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</si>
  <si>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</si>
  <si>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</si>
  <si>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</si>
  <si>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</si>
  <si>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</si>
  <si>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</si>
  <si>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</si>
  <si>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</si>
  <si>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</si>
  <si>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</si>
  <si>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</si>
  <si>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</si>
  <si>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</si>
  <si>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</si>
  <si>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</si>
  <si>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</si>
  <si>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</si>
  <si>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</si>
  <si>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</si>
  <si>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</si>
  <si>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</si>
  <si>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</si>
  <si>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</si>
  <si>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</si>
  <si>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</si>
  <si>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</si>
  <si>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</si>
  <si>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</si>
  <si>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</si>
  <si>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</si>
  <si>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</si>
  <si>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</si>
  <si>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</si>
  <si>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</si>
  <si>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</si>
  <si>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</si>
  <si>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</si>
  <si>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</si>
  <si>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</si>
  <si>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</si>
  <si>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</si>
  <si>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</si>
  <si>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</si>
  <si>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</si>
  <si>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</si>
  <si>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</si>
  <si>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</si>
  <si>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</si>
  <si>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</si>
  <si>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</si>
  <si>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</si>
  <si>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</si>
  <si>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</si>
  <si>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</si>
  <si>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</si>
  <si>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</si>
  <si>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</si>
  <si>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</si>
  <si>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</si>
  <si>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</si>
  <si>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</si>
  <si>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</si>
  <si>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</si>
  <si>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</si>
  <si>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</si>
  <si>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</si>
  <si>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</si>
  <si>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</si>
  <si>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</si>
  <si>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</si>
  <si>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</si>
  <si>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</si>
  <si>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</si>
  <si>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</si>
  <si>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</si>
  <si>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</si>
  <si>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</si>
  <si>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</si>
  <si>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</si>
  <si>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</si>
  <si>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</si>
  <si>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</si>
  <si>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</si>
  <si>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</si>
  <si>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</si>
  <si>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</si>
  <si>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</si>
  <si>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</si>
  <si>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</si>
  <si>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</si>
  <si>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</si>
  <si>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</si>
  <si>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</si>
  <si>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</si>
  <si>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</si>
  <si>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</si>
  <si>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</si>
  <si>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</si>
  <si>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</si>
  <si>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</si>
  <si>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</si>
  <si>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</si>
  <si>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</si>
  <si>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</si>
  <si>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</si>
  <si>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</si>
  <si>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</si>
  <si>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</si>
  <si>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</si>
  <si>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</si>
  <si>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</si>
  <si>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</si>
  <si>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</si>
  <si>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</si>
  <si>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</si>
  <si>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</si>
  <si>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</si>
  <si>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</si>
  <si>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</si>
  <si>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</si>
  <si>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</si>
  <si>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</si>
  <si>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</si>
  <si>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</si>
  <si>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</si>
  <si>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</si>
  <si>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</si>
  <si>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</si>
  <si>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</si>
  <si>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</si>
  <si>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</si>
  <si>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</si>
  <si>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</si>
  <si>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</si>
  <si>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</si>
  <si>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</si>
  <si>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</si>
  <si>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</si>
  <si>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</si>
  <si>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</si>
  <si>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</si>
  <si>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</si>
  <si>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</si>
  <si>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</si>
  <si>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</si>
  <si>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</si>
  <si>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</si>
  <si>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</si>
  <si>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</si>
  <si>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</si>
  <si>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</si>
  <si>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</si>
  <si>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</si>
  <si>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</si>
  <si>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</si>
  <si>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</si>
  <si>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</si>
  <si>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</si>
  <si>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</si>
  <si>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</si>
  <si>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</si>
  <si>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</si>
  <si>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</si>
  <si>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</si>
  <si>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</si>
  <si>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</si>
  <si>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</si>
  <si>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</si>
  <si>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</si>
  <si>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</si>
  <si>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</si>
  <si>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</si>
  <si>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</si>
  <si>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</si>
  <si>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</si>
  <si>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</si>
  <si>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</si>
  <si>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</si>
  <si>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</si>
  <si>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</si>
  <si>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</si>
  <si>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</si>
  <si>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</si>
  <si>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</si>
  <si>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</si>
  <si>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</si>
  <si>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</si>
  <si>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</si>
  <si>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</si>
  <si>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</si>
  <si>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</si>
  <si>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</si>
  <si>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</si>
  <si>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</si>
  <si>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</si>
  <si>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</si>
  <si>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</si>
  <si>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</si>
  <si>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</si>
  <si>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</si>
  <si>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</si>
  <si>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</si>
  <si>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</si>
  <si>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</si>
  <si>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</si>
  <si>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</si>
  <si>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</si>
  <si>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</si>
  <si>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</si>
  <si>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</si>
  <si>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</si>
  <si>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</si>
  <si>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</si>
  <si>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</si>
  <si>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</si>
  <si>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</si>
  <si>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</si>
  <si>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</si>
  <si>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</si>
  <si>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</si>
  <si>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</si>
  <si>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</si>
  <si>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</si>
  <si>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</si>
  <si>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</si>
  <si>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</si>
  <si>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</si>
  <si>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</si>
  <si>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</si>
  <si>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</si>
  <si>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</si>
  <si>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</si>
  <si>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</si>
  <si>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</si>
  <si>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</si>
  <si>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</si>
  <si>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</si>
  <si>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</si>
  <si>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</si>
  <si>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</si>
  <si>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</si>
  <si>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</si>
  <si>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</si>
  <si>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</si>
  <si>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</si>
  <si>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</si>
  <si>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</si>
  <si>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</si>
  <si>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</si>
  <si>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</si>
  <si>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</si>
  <si>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</si>
  <si>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</si>
  <si>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</si>
  <si>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</si>
  <si>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</si>
  <si>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</si>
  <si>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</si>
  <si>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</si>
  <si>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</si>
  <si>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</si>
  <si>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</si>
  <si>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</si>
  <si>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</si>
  <si>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</si>
  <si>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</si>
  <si>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</si>
  <si>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</si>
  <si>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</si>
  <si>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</si>
  <si>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</si>
  <si>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</si>
  <si>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</si>
  <si>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</si>
  <si>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</si>
  <si>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</si>
  <si>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</si>
  <si>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</si>
  <si>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</si>
  <si>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</si>
  <si>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</si>
  <si>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</si>
  <si>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</si>
  <si>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</si>
  <si>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</si>
  <si>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</si>
  <si>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</si>
  <si>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</si>
  <si>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</si>
  <si>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</si>
  <si>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</si>
  <si>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</si>
  <si>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</si>
  <si>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</si>
  <si>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</si>
  <si>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</si>
  <si>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</si>
  <si>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</si>
  <si>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</si>
  <si>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</si>
  <si>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</si>
  <si>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</si>
  <si>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</si>
  <si>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</si>
  <si>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</si>
  <si>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</si>
  <si>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</si>
  <si>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</si>
  <si>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</si>
  <si>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</si>
  <si>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</si>
  <si>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</si>
  <si>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</si>
  <si>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</si>
  <si>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</si>
  <si>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</si>
  <si>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</si>
  <si>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</si>
  <si>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</si>
  <si>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</si>
  <si>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</si>
  <si>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</si>
  <si>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</si>
  <si>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</si>
  <si>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</si>
  <si>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</si>
  <si>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</si>
  <si>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</si>
  <si>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</si>
  <si>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</si>
  <si>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</si>
  <si>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</si>
  <si>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</si>
  <si>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</si>
  <si>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</si>
  <si>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</si>
  <si>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</si>
  <si>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</si>
  <si>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</si>
  <si>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</si>
  <si>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</si>
  <si>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</si>
  <si>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</si>
  <si>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</si>
  <si>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</si>
  <si>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</si>
  <si>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</si>
  <si>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</si>
  <si>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</si>
  <si>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</si>
  <si>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</si>
  <si>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</si>
  <si>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</si>
  <si>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</si>
  <si>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</si>
  <si>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</si>
  <si>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</si>
  <si>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</si>
  <si>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</si>
  <si>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</si>
  <si>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</si>
  <si>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</si>
  <si>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</si>
  <si>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</si>
  <si>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</si>
  <si>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</si>
  <si>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</si>
  <si>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</si>
  <si>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</si>
  <si>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</si>
  <si>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</si>
  <si>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</si>
  <si>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</si>
  <si>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</si>
  <si>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</si>
  <si>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</si>
  <si>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</si>
  <si>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</si>
  <si>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</si>
  <si>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</si>
  <si>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</si>
  <si>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</si>
  <si>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</si>
  <si>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</si>
  <si>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</si>
  <si>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</si>
  <si>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</si>
  <si>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</si>
  <si>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</si>
  <si>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</si>
  <si>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</si>
  <si>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</si>
  <si>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</si>
  <si>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</si>
  <si>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</si>
  <si>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</si>
  <si>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</si>
  <si>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</si>
  <si>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</si>
  <si>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</si>
  <si>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</si>
  <si>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</si>
  <si>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</si>
  <si>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</si>
  <si>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</si>
  <si>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</si>
  <si>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</si>
  <si>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</si>
  <si>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</si>
  <si>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</si>
  <si>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</si>
  <si>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</si>
  <si>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</si>
  <si>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</si>
  <si>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</si>
  <si>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</si>
  <si>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</si>
  <si>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</si>
  <si>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</si>
  <si>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</si>
  <si>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</si>
  <si>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</si>
  <si>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</si>
  <si>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</si>
  <si>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</si>
  <si>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</si>
  <si>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</si>
  <si>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</si>
  <si>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</si>
  <si>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</si>
  <si>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</si>
  <si>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</si>
  <si>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</si>
  <si>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</si>
  <si>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</si>
  <si>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</si>
  <si>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</si>
  <si>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</si>
  <si>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</si>
  <si>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</si>
  <si>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</si>
  <si>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</si>
  <si>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</si>
  <si>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</si>
  <si>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</si>
  <si>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</si>
  <si>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</si>
  <si>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</si>
  <si>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</si>
  <si>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</si>
  <si>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</si>
  <si>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</si>
  <si>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</si>
  <si>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</si>
  <si>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</si>
  <si>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</si>
  <si>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</si>
  <si>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</si>
  <si>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</si>
  <si>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</si>
  <si>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</si>
  <si>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</si>
  <si>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</si>
  <si>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</si>
  <si>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</si>
  <si>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</si>
  <si>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</si>
  <si>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</si>
  <si>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</si>
  <si>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</si>
  <si>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</si>
  <si>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</si>
  <si>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</si>
  <si>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</si>
  <si>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</si>
  <si>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</si>
  <si>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</si>
  <si>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</si>
  <si>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</si>
  <si>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</si>
  <si>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</si>
  <si>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</si>
  <si>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</si>
  <si>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</si>
  <si>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</si>
  <si>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</si>
  <si>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</si>
  <si>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</si>
  <si>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</si>
  <si>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</si>
  <si>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</si>
  <si>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</si>
  <si>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</si>
  <si>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</si>
  <si>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</si>
  <si>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</si>
  <si>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</si>
  <si>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</si>
  <si>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</si>
  <si>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</si>
  <si>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</si>
  <si>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</si>
  <si>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</si>
  <si>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</si>
  <si>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</si>
  <si>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</si>
  <si>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</si>
  <si>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</si>
  <si>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</si>
  <si>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</si>
  <si>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</si>
  <si>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</si>
  <si>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</si>
  <si>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</si>
  <si>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</si>
  <si>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</si>
  <si>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</si>
  <si>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</si>
  <si>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</si>
  <si>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</si>
  <si>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</si>
  <si>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</si>
  <si>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</si>
  <si>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</si>
  <si>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</si>
  <si>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</si>
  <si>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</si>
  <si>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</si>
  <si>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</si>
  <si>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</si>
  <si>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</si>
  <si>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</si>
  <si>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</si>
  <si>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</si>
  <si>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</si>
  <si>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</si>
  <si>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</si>
  <si>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</si>
  <si>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</si>
  <si>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</si>
  <si>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</si>
  <si>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</si>
  <si>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</si>
  <si>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</si>
  <si>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</si>
  <si>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</si>
  <si>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</si>
  <si>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</si>
  <si>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</si>
  <si>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</si>
  <si>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</si>
  <si>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</si>
  <si>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</si>
  <si>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</si>
  <si>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</si>
  <si>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</si>
  <si>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</si>
  <si>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</si>
  <si>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</si>
  <si>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</si>
  <si>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</si>
  <si>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</si>
  <si>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</si>
  <si>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</si>
  <si>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</si>
  <si>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</si>
  <si>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</si>
  <si>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</si>
  <si>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</si>
  <si>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</si>
  <si>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</si>
  <si>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</si>
  <si>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</si>
  <si>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</si>
  <si>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</si>
  <si>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</si>
  <si>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</si>
  <si>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</si>
  <si>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</si>
  <si>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</si>
  <si>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</si>
  <si>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</si>
  <si>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</si>
  <si>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</si>
  <si>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</si>
  <si>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</si>
  <si>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</si>
  <si>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</si>
  <si>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</si>
  <si>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</si>
  <si>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</si>
  <si>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</si>
  <si>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</si>
  <si>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</si>
  <si>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</si>
  <si>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</si>
  <si>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</si>
  <si>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</si>
  <si>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</si>
  <si>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</si>
  <si>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</si>
  <si>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</si>
  <si>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</si>
  <si>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</si>
  <si>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</si>
  <si>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</si>
  <si>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</si>
  <si>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</si>
  <si>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</si>
  <si>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</si>
  <si>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</si>
  <si>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</si>
  <si>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</si>
  <si>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</si>
  <si>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</si>
  <si>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</si>
  <si>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</si>
  <si>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</si>
  <si>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</si>
  <si>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</si>
  <si>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</si>
  <si>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</si>
  <si>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</si>
  <si>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</si>
  <si>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</si>
  <si>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</si>
  <si>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</si>
  <si>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</si>
  <si>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</si>
  <si>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</si>
  <si>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</si>
  <si>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</si>
  <si>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</si>
  <si>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</si>
  <si>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</si>
  <si>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</si>
  <si>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</si>
  <si>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</si>
  <si>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</si>
  <si>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</si>
  <si>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</si>
  <si>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</si>
  <si>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</si>
  <si>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</si>
  <si>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</si>
  <si>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</si>
  <si>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</si>
  <si>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</si>
  <si>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</si>
  <si>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</si>
  <si>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</si>
  <si>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</si>
  <si>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</si>
  <si>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</si>
  <si>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</si>
  <si>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</si>
  <si>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</si>
  <si>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</si>
  <si>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</si>
  <si>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</si>
  <si>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</si>
  <si>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</si>
  <si>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</si>
  <si>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</si>
  <si>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</si>
  <si>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</si>
  <si>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</si>
  <si>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</si>
  <si>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</si>
  <si>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</si>
  <si>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</si>
  <si>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</si>
  <si>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</si>
  <si>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</si>
  <si>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</si>
  <si>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</si>
  <si>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</si>
  <si>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</si>
  <si>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</si>
  <si>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</si>
  <si>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</si>
  <si>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</si>
  <si>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</si>
  <si>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</si>
  <si>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</si>
  <si>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</si>
  <si>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</si>
  <si>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</si>
  <si>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</si>
  <si>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</si>
  <si>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</si>
  <si>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</si>
  <si>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</si>
  <si>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</si>
  <si>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</si>
  <si>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</si>
  <si>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</si>
  <si>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</si>
  <si>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</si>
  <si>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</si>
  <si>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</si>
  <si>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</si>
  <si>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</si>
  <si>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</si>
  <si>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</si>
  <si>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</si>
  <si>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</si>
  <si>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</si>
  <si>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</si>
  <si>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</si>
  <si>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</si>
  <si>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</si>
  <si>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</si>
  <si>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</si>
  <si>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</si>
  <si>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</si>
  <si>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</si>
  <si>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</si>
  <si>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</si>
  <si>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</si>
  <si>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</si>
  <si>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</si>
  <si>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</si>
  <si>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</si>
  <si>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</si>
  <si>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</si>
  <si>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</si>
  <si>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</si>
  <si>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</si>
  <si>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</si>
  <si>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</si>
  <si>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</si>
  <si>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</si>
  <si>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</si>
  <si>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</si>
  <si>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</si>
  <si>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</si>
  <si>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</si>
  <si>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</si>
  <si>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</si>
  <si>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</si>
  <si>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</si>
  <si>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</si>
  <si>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</si>
  <si>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</si>
  <si>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</si>
  <si>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</si>
  <si>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</si>
  <si>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</si>
  <si>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</si>
  <si>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</si>
  <si>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</si>
  <si>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</si>
  <si>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</si>
  <si>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</si>
  <si>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</si>
  <si>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</si>
  <si>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</si>
  <si>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</si>
  <si>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</si>
  <si>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</si>
  <si>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</si>
  <si>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</si>
  <si>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</si>
  <si>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</si>
  <si>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</si>
  <si>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</si>
  <si>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</si>
  <si>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</si>
  <si>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</si>
  <si>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</si>
  <si>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</si>
  <si>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</si>
  <si>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</si>
  <si>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</si>
  <si>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</si>
  <si>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</si>
  <si>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</si>
  <si>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</si>
  <si>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</si>
  <si>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</si>
  <si>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</si>
  <si>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</si>
  <si>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</si>
  <si>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</si>
  <si>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</si>
  <si>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</si>
  <si>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</si>
  <si>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</si>
  <si>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</si>
  <si>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</si>
  <si>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</si>
  <si>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</si>
  <si>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</si>
  <si>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</si>
  <si>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</si>
  <si>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</si>
  <si>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</si>
  <si>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</si>
  <si>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</si>
  <si>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</si>
  <si>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</si>
  <si>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</si>
  <si>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</si>
  <si>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</si>
  <si>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</si>
  <si>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</si>
  <si>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</si>
  <si>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</si>
  <si>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</si>
  <si>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</si>
  <si>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</si>
  <si>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</si>
  <si>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</si>
  <si>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</si>
  <si>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</si>
  <si>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</si>
  <si>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</si>
  <si>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</si>
  <si>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</si>
  <si>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</si>
  <si>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</si>
  <si>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</si>
  <si>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</si>
  <si>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</si>
  <si>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</si>
  <si>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</si>
  <si>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</si>
  <si>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</si>
  <si>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</si>
  <si>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</si>
  <si>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</si>
  <si>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</si>
  <si>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</si>
  <si>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</si>
  <si>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</si>
  <si>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</si>
  <si>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</si>
  <si>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</si>
  <si>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</si>
  <si>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</si>
  <si>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</si>
  <si>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</si>
  <si>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</si>
  <si>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</si>
  <si>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</si>
  <si>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</si>
  <si>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</si>
  <si>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</si>
  <si>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</si>
  <si>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</si>
  <si>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</si>
  <si>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</si>
  <si>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</si>
  <si>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</si>
  <si>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</si>
  <si>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</si>
  <si>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</si>
  <si>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</si>
  <si>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</si>
  <si>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</si>
  <si>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</si>
  <si>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</si>
  <si>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</si>
  <si>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</si>
  <si>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</si>
  <si>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</si>
  <si>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</si>
  <si>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</si>
  <si>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</si>
  <si>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</si>
  <si>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</si>
  <si>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</si>
  <si>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</si>
  <si>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</si>
  <si>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</si>
  <si>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</si>
  <si>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</si>
  <si>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</si>
  <si>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</si>
  <si>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</si>
  <si>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</si>
  <si>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</si>
  <si>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</si>
  <si>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</si>
  <si>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</si>
  <si>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</si>
  <si>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</si>
  <si>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</si>
  <si>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</si>
  <si>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</si>
  <si>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</si>
  <si>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</si>
  <si>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</si>
  <si>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</si>
  <si>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</si>
  <si>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</si>
  <si>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</si>
  <si>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</si>
  <si>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</si>
  <si>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</si>
  <si>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</si>
  <si>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</si>
  <si>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</si>
  <si>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</si>
  <si>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</si>
  <si>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</si>
  <si>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</si>
  <si>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</si>
  <si>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</si>
  <si>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</si>
  <si>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</si>
  <si>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</si>
  <si>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</si>
  <si>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</si>
  <si>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</si>
  <si>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</si>
  <si>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</si>
  <si>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</si>
  <si>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</si>
  <si>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</si>
  <si>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</si>
  <si>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</si>
  <si>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</si>
  <si>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</si>
  <si>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</si>
  <si>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</si>
  <si>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</si>
  <si>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</si>
  <si>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</si>
  <si>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</si>
  <si>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</si>
  <si>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</si>
  <si>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</si>
  <si>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</si>
  <si>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</si>
  <si>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</si>
  <si>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</si>
  <si>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</si>
  <si>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</si>
  <si>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</si>
  <si>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</si>
  <si>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</si>
  <si>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</si>
  <si>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</si>
  <si>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</si>
  <si>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</si>
  <si>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</si>
  <si>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</si>
  <si>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</si>
  <si>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</si>
  <si>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</si>
  <si>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</si>
  <si>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</si>
  <si>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</si>
  <si>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</si>
  <si>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</si>
  <si>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</si>
  <si>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</si>
  <si>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</si>
  <si>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</si>
  <si>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</si>
  <si>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</si>
  <si>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</si>
  <si>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</si>
  <si>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</si>
  <si>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</si>
  <si>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</si>
  <si>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</si>
  <si>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</si>
  <si>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</si>
  <si>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</si>
  <si>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</si>
  <si>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</si>
  <si>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</si>
  <si>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</si>
  <si>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</si>
  <si>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</si>
  <si>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</si>
  <si>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</si>
  <si>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</si>
  <si>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</si>
  <si>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</si>
  <si>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</si>
  <si>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</si>
  <si>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</si>
  <si>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</si>
  <si>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</si>
  <si>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</si>
  <si>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</si>
  <si>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</si>
  <si>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</si>
  <si>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</si>
  <si>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</si>
  <si>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</si>
  <si>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</si>
  <si>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</si>
  <si>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</si>
  <si>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</si>
  <si>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</si>
  <si>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</si>
  <si>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</si>
  <si>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</si>
  <si>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</si>
  <si>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</si>
  <si>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</si>
  <si>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</si>
  <si>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</si>
  <si>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</si>
  <si>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</si>
  <si>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</si>
  <si>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</si>
  <si>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</si>
  <si>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</si>
  <si>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</si>
  <si>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</si>
  <si>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</si>
  <si>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</si>
  <si>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</si>
  <si>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</si>
  <si>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</si>
  <si>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</si>
  <si>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</si>
  <si>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</si>
  <si>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</si>
  <si>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</si>
  <si>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</si>
  <si>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</si>
  <si>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</si>
  <si>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</si>
  <si>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</si>
  <si>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</si>
  <si>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</si>
  <si>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</si>
  <si>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</si>
  <si>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</si>
  <si>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</si>
  <si>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</si>
  <si>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</si>
  <si>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</si>
  <si>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</si>
  <si>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</si>
  <si>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</si>
  <si>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</si>
  <si>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</si>
  <si>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</si>
  <si>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</si>
  <si>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</si>
  <si>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</si>
  <si>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</si>
  <si>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</si>
  <si>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</si>
  <si>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</si>
  <si>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</si>
  <si>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</si>
  <si>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</si>
  <si>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</si>
  <si>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</si>
  <si>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</si>
  <si>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</si>
  <si>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</si>
  <si>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</si>
  <si>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</si>
  <si>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</si>
  <si>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</si>
  <si>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</si>
  <si>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</si>
  <si>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</si>
  <si>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</si>
  <si>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</si>
  <si>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</si>
  <si>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</si>
  <si>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</si>
  <si>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</si>
  <si>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</si>
  <si>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</si>
  <si>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</si>
  <si>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</si>
  <si>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</si>
  <si>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</si>
  <si>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</si>
  <si>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</si>
  <si>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</si>
  <si>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</si>
  <si>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</si>
  <si>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</si>
  <si>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</si>
  <si>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</si>
  <si>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</si>
  <si>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</si>
  <si>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</si>
  <si>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</si>
  <si>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</si>
  <si>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</si>
  <si>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</si>
  <si>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</si>
  <si>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</si>
  <si>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</si>
  <si>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</si>
  <si>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</si>
  <si>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</si>
  <si>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</si>
  <si>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</si>
  <si>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</si>
  <si>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</si>
  <si>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</si>
  <si>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</si>
  <si>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</si>
  <si>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</si>
  <si>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</si>
  <si>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</si>
  <si>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</si>
  <si>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</si>
  <si>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</si>
  <si>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</si>
  <si>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</si>
  <si>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</si>
  <si>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</si>
  <si>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</si>
  <si>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</si>
  <si>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</si>
  <si>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</si>
  <si>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</si>
  <si>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</si>
  <si>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</si>
  <si>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</si>
  <si>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</si>
  <si>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</si>
  <si>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</si>
  <si>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</si>
  <si>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</si>
  <si>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</si>
  <si>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</si>
  <si>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</si>
  <si>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</si>
  <si>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</si>
  <si>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</si>
  <si>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</si>
  <si>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</si>
  <si>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</si>
  <si>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</si>
  <si>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</si>
  <si>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</si>
  <si>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</si>
  <si>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</si>
  <si>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</si>
  <si>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</si>
  <si>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</si>
  <si>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</si>
  <si>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</si>
  <si>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</si>
  <si>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</si>
  <si>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</si>
  <si>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</si>
  <si>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</si>
  <si>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</si>
  <si>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</si>
  <si>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</si>
  <si>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</si>
  <si>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</si>
  <si>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</si>
  <si>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</si>
  <si>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</si>
  <si>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</si>
  <si>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</si>
  <si>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</si>
  <si>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</si>
  <si>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</si>
  <si>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</si>
  <si>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</si>
  <si>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</si>
  <si>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</si>
  <si>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</si>
  <si>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</si>
  <si>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</si>
  <si>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</si>
  <si>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</si>
  <si>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</si>
  <si>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</si>
  <si>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</si>
  <si>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</si>
  <si>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</si>
  <si>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</si>
  <si>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</si>
  <si>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</si>
  <si>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</si>
  <si>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</si>
  <si>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</si>
  <si>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</si>
  <si>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</si>
  <si>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</si>
  <si>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</si>
  <si>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</si>
  <si>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</si>
  <si>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</si>
  <si>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</si>
  <si>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</si>
  <si>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</si>
  <si>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</si>
  <si>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</si>
  <si>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</si>
  <si>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</si>
  <si>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</si>
  <si>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</si>
  <si>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</si>
  <si>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</si>
  <si>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</si>
  <si>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</si>
  <si>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</si>
  <si>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</si>
  <si>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</si>
  <si>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</si>
  <si>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</si>
  <si>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</si>
  <si>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</si>
  <si>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</si>
  <si>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</si>
  <si>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</si>
  <si>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</si>
  <si>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</si>
  <si>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</si>
  <si>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</si>
  <si>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</si>
  <si>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</si>
  <si>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</si>
  <si>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</si>
  <si>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</si>
  <si>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</si>
  <si>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</si>
  <si>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</si>
  <si>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</si>
  <si>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</si>
  <si>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</si>
  <si>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</si>
  <si>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</si>
  <si>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</si>
  <si>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</si>
  <si>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</si>
  <si>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</si>
  <si>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</si>
  <si>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</si>
  <si>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</si>
  <si>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</si>
  <si>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</si>
  <si>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</si>
  <si>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</si>
  <si>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</si>
  <si>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</si>
  <si>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</si>
  <si>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</si>
  <si>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</si>
  <si>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</si>
  <si>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</si>
  <si>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</si>
  <si>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</si>
  <si>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</si>
  <si>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</si>
  <si>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</si>
  <si>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</si>
  <si>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</si>
  <si>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</si>
  <si>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</si>
  <si>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</si>
  <si>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</si>
  <si>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</si>
  <si>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</si>
  <si>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</si>
  <si>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</si>
  <si>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</si>
  <si>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</si>
  <si>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</si>
  <si>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</si>
  <si>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</si>
  <si>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</si>
  <si>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</si>
  <si>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</si>
  <si>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</si>
  <si>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</si>
  <si>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</si>
  <si>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</si>
  <si>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</si>
  <si>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</si>
  <si>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</si>
  <si>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</si>
  <si>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</si>
  <si>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</si>
  <si>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</si>
  <si>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</si>
  <si>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</si>
  <si>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</si>
  <si>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</si>
  <si>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</si>
  <si>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</si>
  <si>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</si>
  <si>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</si>
  <si>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</si>
  <si>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</si>
  <si>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</si>
  <si>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</si>
  <si>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</si>
  <si>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</si>
  <si>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</si>
  <si>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</si>
  <si>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</si>
  <si>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</si>
  <si>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</si>
  <si>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</si>
  <si>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</si>
  <si>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</si>
  <si>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</si>
  <si>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</si>
  <si>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</si>
  <si>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</si>
  <si>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</si>
  <si>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</si>
  <si>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</si>
  <si>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</si>
  <si>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</si>
  <si>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</si>
  <si>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</si>
  <si>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</si>
  <si>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</si>
  <si>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</si>
  <si>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</si>
  <si>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</si>
  <si>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</si>
  <si>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</si>
  <si>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</si>
  <si>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</si>
  <si>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</si>
  <si>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</si>
  <si>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</si>
  <si>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</si>
  <si>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</si>
  <si>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</si>
  <si>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</si>
  <si>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</si>
  <si>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</si>
  <si>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</si>
  <si>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</si>
  <si>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</si>
  <si>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</si>
  <si>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</si>
  <si>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</si>
  <si>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</si>
  <si>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</si>
  <si>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</si>
  <si>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</si>
  <si>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</si>
  <si>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</si>
  <si>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</si>
  <si>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</si>
  <si>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</si>
  <si>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</si>
  <si>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</si>
  <si>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</si>
  <si>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</si>
  <si>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</si>
  <si>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</si>
  <si>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</si>
  <si>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</si>
  <si>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</si>
  <si>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</si>
  <si>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</si>
  <si>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</si>
  <si>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</si>
  <si>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</si>
  <si>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</si>
  <si>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</si>
  <si>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</si>
  <si>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</si>
  <si>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</si>
  <si>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</si>
  <si>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</si>
  <si>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</si>
  <si>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</si>
  <si>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</si>
  <si>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</si>
  <si>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</si>
  <si>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</si>
  <si>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</si>
  <si>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</si>
  <si>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</si>
  <si>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</si>
  <si>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</si>
  <si>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</si>
  <si>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</si>
  <si>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</si>
  <si>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</si>
  <si>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</si>
  <si>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</si>
  <si>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</si>
  <si>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</si>
  <si>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</si>
  <si>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</si>
  <si>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</si>
  <si>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</si>
  <si>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</si>
  <si>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</si>
  <si>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</si>
  <si>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</si>
  <si>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</si>
  <si>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</si>
  <si>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</si>
  <si>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</si>
  <si>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</si>
  <si>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</si>
  <si>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</si>
  <si>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</si>
  <si>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</si>
  <si>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</si>
  <si>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</si>
  <si>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</si>
  <si>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</si>
  <si>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</si>
  <si>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</si>
  <si>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</si>
  <si>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</si>
  <si>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</si>
  <si>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</si>
  <si>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</si>
  <si>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</si>
  <si>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</si>
  <si>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</si>
  <si>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</si>
  <si>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</si>
  <si>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</si>
  <si>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</si>
  <si>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</si>
  <si>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</si>
  <si>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</si>
  <si>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</si>
  <si>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</si>
  <si>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</si>
  <si>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</si>
  <si>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</si>
  <si>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</si>
  <si>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</si>
  <si>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</si>
  <si>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</si>
  <si>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</si>
  <si>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</si>
  <si>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</si>
  <si>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</si>
  <si>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</si>
  <si>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</si>
  <si>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</si>
  <si>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</si>
  <si>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</si>
  <si>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</si>
  <si>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</si>
  <si>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</si>
  <si>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</si>
  <si>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</si>
  <si>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</si>
  <si>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</si>
  <si>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</si>
  <si>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</si>
  <si>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</si>
  <si>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</si>
  <si>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</si>
  <si>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</si>
  <si>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</si>
  <si>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</si>
  <si>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</si>
  <si>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</si>
  <si>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</si>
  <si>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</si>
  <si>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</si>
  <si>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</si>
  <si>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</si>
  <si>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</si>
  <si>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</si>
  <si>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</si>
  <si>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</si>
  <si>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</si>
  <si>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</si>
  <si>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</si>
  <si>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</si>
  <si>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</si>
  <si>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</si>
  <si>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</si>
  <si>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</si>
  <si>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</si>
  <si>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</si>
  <si>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</si>
  <si>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</si>
  <si>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</si>
  <si>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</si>
  <si>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</si>
  <si>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</si>
  <si>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</si>
  <si>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</si>
  <si>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</si>
  <si>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</si>
  <si>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</si>
  <si>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</si>
  <si>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</si>
  <si>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</si>
  <si>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</si>
  <si>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</si>
  <si>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</si>
  <si>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</si>
  <si>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</si>
  <si>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</si>
  <si>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</si>
  <si>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</si>
  <si>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</si>
  <si>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</si>
  <si>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</si>
  <si>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</si>
  <si>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</si>
  <si>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</si>
  <si>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</si>
  <si>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</si>
  <si>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</si>
  <si>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</si>
  <si>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</si>
  <si>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</si>
  <si>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</si>
  <si>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</si>
  <si>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</si>
  <si>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</si>
  <si>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</si>
  <si>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</si>
  <si>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</si>
  <si>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</si>
  <si>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</si>
  <si>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</si>
  <si>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</si>
  <si>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</si>
  <si>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</si>
  <si>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</si>
  <si>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</si>
  <si>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</si>
  <si>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</si>
  <si>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</si>
  <si>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</si>
  <si>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</si>
  <si>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</si>
  <si>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</si>
  <si>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</si>
  <si>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</si>
  <si>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</si>
  <si>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</si>
  <si>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</si>
  <si>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</si>
  <si>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</si>
  <si>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</si>
  <si>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</si>
  <si>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</si>
  <si>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</si>
  <si>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</si>
  <si>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</si>
  <si>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</si>
  <si>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</si>
  <si>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</si>
  <si>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</si>
  <si>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</si>
  <si>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</si>
  <si>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</si>
  <si>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</si>
  <si>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</si>
  <si>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</si>
  <si>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</si>
  <si>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</si>
  <si>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</si>
  <si>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</si>
  <si>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</si>
  <si>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</si>
  <si>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</si>
  <si>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</si>
  <si>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</si>
  <si>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</si>
  <si>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</si>
  <si>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</si>
  <si>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</si>
  <si>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</si>
  <si>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</si>
  <si>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</si>
  <si>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</si>
  <si>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</si>
  <si>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</si>
  <si>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</si>
  <si>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</si>
  <si>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</si>
  <si>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</si>
  <si>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</si>
  <si>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</si>
  <si>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</si>
  <si>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</si>
  <si>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</si>
  <si>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</si>
  <si>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</si>
  <si>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</si>
  <si>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</si>
  <si>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</si>
  <si>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</si>
  <si>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</si>
  <si>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</si>
  <si>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</si>
  <si>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</si>
  <si>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</si>
  <si>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</si>
  <si>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</si>
  <si>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</si>
  <si>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</si>
  <si>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</si>
  <si>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</si>
  <si>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</si>
  <si>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</si>
  <si>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</si>
  <si>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</si>
  <si>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</si>
  <si>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</si>
  <si>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</si>
  <si>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</si>
  <si>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</si>
  <si>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</si>
  <si>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</si>
  <si>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</si>
  <si>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</si>
  <si>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</si>
  <si>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</si>
  <si>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</si>
  <si>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</si>
  <si>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</si>
  <si>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</si>
  <si>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</si>
  <si>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</si>
  <si>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</si>
  <si>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</si>
  <si>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</si>
  <si>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</si>
  <si>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</si>
  <si>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</si>
  <si>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</si>
  <si>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</si>
  <si>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</si>
  <si>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</si>
  <si>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</si>
  <si>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</si>
  <si>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</si>
  <si>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</si>
  <si>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</si>
  <si>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</si>
  <si>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</si>
  <si>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</si>
  <si>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</si>
  <si>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</si>
  <si>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</si>
  <si>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</si>
  <si>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</si>
  <si>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</si>
  <si>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</si>
  <si>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</si>
  <si>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</si>
  <si>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</si>
  <si>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</si>
  <si>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</si>
  <si>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</si>
  <si>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</si>
  <si>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</si>
  <si>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</si>
  <si>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</si>
  <si>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</si>
  <si>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</si>
  <si>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</si>
  <si>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</si>
  <si>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</si>
  <si>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</si>
  <si>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</si>
  <si>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</si>
  <si>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</si>
  <si>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</si>
  <si>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</si>
  <si>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</si>
  <si>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</si>
  <si>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</si>
  <si>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</si>
  <si>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</si>
  <si>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</si>
  <si>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</si>
  <si>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</si>
  <si>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</si>
  <si>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</si>
  <si>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</si>
  <si>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</si>
  <si>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</si>
  <si>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</si>
  <si>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</si>
  <si>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</si>
  <si>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</si>
  <si>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</si>
  <si>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</si>
  <si>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</si>
  <si>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</si>
  <si>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</si>
  <si>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</si>
  <si>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</si>
  <si>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</si>
  <si>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</si>
  <si>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</si>
  <si>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</si>
  <si>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</si>
  <si>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</si>
  <si>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</si>
  <si>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</si>
  <si>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</si>
  <si>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</si>
  <si>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</si>
  <si>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</si>
  <si>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</si>
  <si>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</si>
  <si>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</si>
  <si>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</si>
  <si>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</si>
  <si>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</si>
  <si>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</si>
  <si>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</si>
  <si>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</si>
  <si>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</si>
  <si>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</si>
  <si>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</si>
  <si>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</si>
  <si>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</si>
  <si>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</si>
  <si>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</si>
  <si>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</si>
  <si>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</si>
  <si>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</si>
  <si>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</si>
  <si>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</si>
  <si>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</si>
  <si>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</si>
  <si>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</si>
  <si>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</si>
  <si>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</si>
  <si>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</si>
  <si>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</si>
  <si>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</si>
  <si>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</si>
  <si>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</si>
  <si>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</si>
  <si>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</si>
  <si>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</si>
  <si>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</si>
  <si>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</si>
  <si>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</si>
  <si>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</si>
  <si>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</si>
  <si>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</si>
  <si>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</si>
  <si>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</si>
  <si>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</si>
  <si>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</si>
  <si>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</si>
  <si>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</si>
  <si>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</si>
  <si>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</si>
  <si>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</si>
  <si>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</si>
  <si>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</si>
  <si>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</si>
  <si>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</si>
  <si>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</si>
  <si>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</si>
  <si>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</si>
  <si>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</si>
  <si>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</si>
  <si>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</si>
  <si>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</si>
  <si>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</si>
  <si>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</si>
  <si>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</si>
  <si>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</si>
  <si>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</si>
  <si>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</si>
  <si>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</si>
  <si>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</si>
  <si>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</si>
  <si>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</si>
  <si>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</si>
  <si>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</si>
  <si>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</si>
  <si>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</si>
  <si>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</si>
  <si>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</si>
  <si>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</si>
  <si>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</si>
  <si>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</si>
  <si>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</si>
  <si>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</si>
  <si>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</si>
  <si>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</si>
  <si>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</si>
  <si>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</si>
  <si>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</si>
  <si>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</si>
  <si>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</si>
  <si>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</si>
  <si>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</si>
  <si>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</si>
  <si>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</si>
  <si>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</si>
  <si>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</si>
  <si>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</si>
  <si>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</si>
  <si>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</si>
  <si>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</si>
  <si>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</si>
  <si>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</si>
  <si>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</si>
  <si>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</si>
  <si>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</si>
  <si>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</si>
  <si>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</si>
  <si>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</si>
  <si>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</si>
  <si>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</si>
  <si>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</si>
  <si>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</si>
  <si>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</si>
  <si>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</si>
  <si>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</si>
  <si>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</si>
  <si>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</si>
  <si>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</si>
  <si>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</si>
  <si>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</si>
  <si>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</si>
  <si>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</si>
  <si>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</si>
  <si>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</si>
  <si>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</si>
  <si>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</si>
  <si>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</si>
  <si>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</si>
  <si>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</si>
  <si>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</si>
  <si>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</si>
  <si>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</si>
  <si>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</si>
  <si>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</si>
  <si>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</si>
  <si>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</si>
  <si>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</si>
  <si>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</si>
  <si>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</si>
  <si>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</si>
  <si>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</si>
  <si>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</si>
  <si>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</si>
  <si>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</si>
  <si>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</si>
  <si>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</si>
  <si>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</si>
  <si>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</si>
  <si>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</si>
  <si>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</si>
  <si>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</si>
  <si>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</si>
  <si>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</si>
  <si>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</si>
  <si>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</si>
  <si>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</si>
  <si>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</si>
  <si>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</si>
  <si>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</si>
  <si>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</si>
  <si>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</si>
  <si>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</si>
  <si>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</si>
  <si>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</si>
  <si>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</si>
  <si>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</si>
  <si>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</si>
  <si>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</si>
  <si>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</si>
  <si>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</si>
  <si>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</si>
  <si>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</si>
  <si>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</si>
  <si>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</si>
  <si>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</si>
  <si>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</si>
  <si>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</si>
  <si>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</si>
  <si>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</si>
  <si>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</si>
  <si>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</si>
  <si>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</si>
  <si>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</si>
  <si>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</si>
  <si>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</si>
  <si>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</si>
  <si>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</si>
  <si>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</si>
  <si>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</si>
  <si>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</si>
  <si>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</si>
  <si>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</si>
  <si>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</si>
  <si>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</si>
  <si>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</si>
  <si>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</si>
  <si>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</si>
  <si>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</si>
  <si>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</si>
  <si>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</si>
  <si>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</si>
  <si>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</si>
  <si>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</si>
  <si>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</si>
  <si>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</si>
  <si>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</si>
  <si>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</si>
  <si>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</si>
  <si>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</si>
  <si>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</si>
  <si>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</si>
  <si>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</si>
  <si>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</si>
  <si>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</si>
  <si>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</si>
  <si>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</si>
  <si>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</si>
  <si>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</si>
  <si>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</si>
  <si>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</si>
  <si>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</si>
  <si>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</si>
  <si>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</si>
  <si>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</si>
  <si>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</si>
  <si>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</si>
  <si>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</si>
  <si>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</si>
  <si>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</si>
  <si>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</si>
  <si>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</si>
  <si>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</si>
  <si>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</si>
  <si>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</si>
  <si>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</si>
  <si>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</si>
  <si>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</si>
  <si>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</si>
  <si>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</si>
  <si>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</si>
  <si>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</si>
  <si>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</si>
  <si>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</si>
  <si>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</si>
  <si>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</si>
  <si>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</si>
  <si>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</si>
  <si>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</si>
  <si>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</si>
  <si>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</si>
  <si>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</si>
  <si>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</si>
  <si>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</si>
  <si>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</si>
  <si>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</si>
  <si>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</si>
  <si>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</si>
  <si>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</si>
  <si>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</si>
  <si>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</si>
  <si>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</si>
  <si>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</si>
  <si>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</si>
  <si>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</si>
  <si>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</si>
  <si>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</si>
  <si>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</si>
  <si>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</si>
  <si>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</si>
  <si>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</si>
  <si>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</si>
  <si>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</si>
  <si>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</si>
  <si>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</si>
  <si>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</si>
  <si>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</si>
  <si>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</si>
  <si>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</si>
  <si>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</si>
  <si>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</si>
  <si>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</si>
  <si>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</si>
  <si>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</si>
  <si>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</si>
  <si>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</si>
  <si>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</si>
  <si>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</si>
  <si>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</si>
  <si>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</si>
  <si>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</si>
  <si>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</si>
  <si>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</si>
  <si>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</si>
  <si>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</si>
  <si>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</si>
  <si>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</si>
  <si>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</si>
  <si>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</si>
  <si>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</si>
  <si>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</si>
  <si>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</si>
  <si>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</si>
  <si>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</si>
  <si>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</si>
  <si>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</si>
  <si>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</si>
  <si>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</si>
  <si>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</si>
  <si>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</si>
  <si>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</si>
  <si>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</si>
  <si>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</si>
  <si>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</si>
  <si>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</si>
  <si>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</si>
  <si>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</si>
  <si>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</si>
  <si>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</si>
  <si>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</si>
  <si>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</si>
  <si>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</si>
  <si>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</si>
  <si>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</si>
  <si>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</si>
  <si>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</si>
  <si>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</si>
  <si>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</si>
  <si>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</si>
  <si>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</si>
  <si>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</si>
  <si>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</si>
  <si>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</si>
  <si>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</si>
  <si>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</si>
  <si>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</si>
  <si>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</si>
  <si>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</si>
  <si>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</si>
  <si>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</si>
  <si>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</si>
  <si>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</si>
  <si>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</si>
  <si>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</si>
  <si>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</si>
  <si>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</si>
  <si>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</si>
  <si>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</si>
  <si>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</si>
  <si>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</si>
  <si>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</si>
  <si>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</si>
  <si>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</si>
  <si>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</si>
  <si>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</si>
  <si>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</si>
  <si>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</si>
  <si>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</si>
  <si>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</si>
  <si>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</si>
  <si>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</si>
  <si>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</si>
  <si>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</si>
  <si>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</si>
  <si>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</si>
  <si>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</si>
  <si>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</si>
  <si>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</si>
  <si>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</si>
  <si>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</si>
  <si>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</si>
  <si>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</si>
  <si>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</si>
  <si>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</si>
  <si>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</si>
  <si>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</si>
  <si>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</si>
  <si>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</si>
  <si>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</si>
  <si>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</si>
  <si>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</si>
  <si>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</si>
  <si>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</si>
  <si>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</si>
  <si>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</si>
  <si>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</si>
  <si>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</si>
  <si>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</si>
  <si>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</si>
  <si>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</si>
  <si>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</si>
  <si>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</si>
  <si>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</si>
  <si>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</si>
  <si>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</si>
  <si>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</si>
  <si>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</si>
  <si>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</si>
  <si>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</si>
  <si>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</si>
  <si>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</si>
  <si>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</si>
  <si>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</si>
  <si>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</si>
  <si>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</si>
  <si>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</si>
  <si>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</si>
  <si>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</si>
  <si>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</si>
  <si>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</si>
  <si>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</si>
  <si>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</si>
  <si>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</si>
  <si>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</si>
  <si>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</si>
  <si>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</si>
  <si>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</si>
  <si>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</si>
  <si>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</si>
  <si>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</si>
  <si>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</si>
  <si>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</si>
  <si>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</si>
  <si>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</si>
  <si>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</si>
  <si>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</si>
  <si>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</si>
  <si>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</si>
  <si>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</si>
  <si>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</si>
  <si>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</si>
  <si>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</si>
  <si>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</si>
  <si>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</si>
  <si>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</si>
  <si>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</si>
  <si>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</si>
  <si>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</si>
  <si>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</si>
  <si>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</si>
  <si>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</si>
  <si>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</si>
  <si>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</si>
  <si>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</si>
  <si>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</si>
  <si>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</si>
  <si>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</si>
  <si>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</si>
  <si>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</si>
  <si>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</si>
  <si>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</si>
  <si>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</si>
  <si>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</si>
  <si>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</si>
  <si>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</si>
  <si>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</si>
  <si>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</si>
  <si>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</si>
  <si>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</si>
  <si>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</si>
  <si>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</si>
  <si>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</si>
  <si>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</si>
  <si>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</si>
  <si>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</si>
  <si>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</si>
  <si>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</si>
  <si>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</si>
  <si>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</si>
  <si>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</si>
  <si>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</si>
  <si>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</si>
  <si>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</si>
  <si>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</si>
  <si>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</si>
  <si>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</si>
  <si>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</si>
  <si>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</si>
  <si>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</si>
  <si>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</si>
  <si>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</si>
  <si>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</si>
  <si>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</si>
  <si>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</si>
  <si>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</si>
  <si>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</si>
  <si>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</si>
  <si>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</si>
  <si>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</si>
  <si>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</si>
  <si>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</si>
  <si>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</si>
  <si>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</si>
  <si>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</si>
  <si>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</si>
  <si>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</si>
  <si>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</si>
  <si>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</si>
  <si>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</si>
  <si>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</si>
  <si>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</si>
  <si>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</si>
  <si>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</si>
  <si>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</si>
  <si>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</si>
  <si>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</si>
  <si>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</si>
  <si>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</si>
  <si>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</si>
  <si>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</si>
  <si>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</si>
  <si>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</si>
  <si>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</si>
  <si>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</si>
  <si>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</si>
  <si>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</si>
  <si>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</si>
  <si>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</si>
  <si>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</si>
  <si>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</si>
  <si>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</si>
  <si>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</si>
  <si>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</si>
  <si>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</si>
  <si>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</si>
  <si>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</si>
  <si>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</si>
  <si>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</si>
  <si>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</si>
  <si>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</si>
  <si>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</si>
  <si>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</si>
  <si>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</si>
  <si>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</si>
  <si>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</si>
  <si>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</si>
  <si>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</si>
  <si>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</si>
  <si>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</si>
  <si>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</si>
  <si>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</si>
  <si>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</si>
  <si>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</si>
  <si>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</si>
  <si>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</si>
  <si>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</si>
  <si>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</si>
  <si>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</si>
  <si>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</si>
  <si>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</si>
  <si>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</si>
  <si>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</si>
  <si>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</si>
  <si>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</si>
  <si>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</si>
  <si>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</si>
  <si>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</si>
  <si>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</si>
  <si>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</si>
  <si>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</si>
  <si>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</si>
  <si>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</si>
  <si>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</si>
  <si>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</si>
  <si>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</si>
  <si>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</si>
  <si>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</si>
  <si>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</si>
  <si>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</si>
  <si>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</si>
  <si>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</si>
  <si>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</si>
  <si>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</si>
  <si>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</si>
  <si>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</si>
  <si>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</si>
  <si>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</si>
  <si>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</si>
  <si>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</si>
  <si>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</si>
  <si>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</si>
  <si>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</si>
  <si>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</si>
  <si>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</si>
  <si>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</si>
  <si>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</si>
  <si>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</si>
  <si>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</si>
  <si>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</si>
  <si>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</si>
  <si>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</si>
  <si>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</si>
  <si>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</si>
  <si>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</si>
  <si>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</si>
  <si>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</si>
  <si>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</si>
  <si>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</si>
  <si>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</si>
  <si>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</si>
  <si>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</si>
  <si>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</si>
  <si>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</si>
  <si>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</si>
  <si>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</si>
  <si>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</si>
  <si>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</si>
  <si>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</si>
  <si>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</si>
  <si>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</si>
  <si>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</si>
  <si>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</si>
  <si>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</si>
  <si>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</si>
  <si>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</si>
  <si>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</si>
  <si>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</si>
  <si>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</si>
  <si>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</si>
  <si>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</si>
  <si>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</si>
  <si>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</si>
  <si>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</si>
  <si>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</si>
  <si>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</si>
  <si>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</si>
  <si>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</si>
  <si>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</si>
  <si>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</si>
  <si>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</si>
  <si>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</si>
  <si>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</si>
  <si>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</si>
  <si>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</si>
  <si>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</si>
  <si>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</si>
  <si>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</si>
  <si>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</si>
  <si>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</si>
  <si>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</si>
  <si>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</si>
  <si>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</si>
  <si>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</si>
  <si>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</si>
  <si>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</si>
  <si>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</si>
  <si>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</si>
  <si>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</si>
  <si>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</si>
  <si>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</si>
  <si>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</si>
  <si>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</si>
  <si>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</si>
  <si>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</si>
  <si>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</si>
  <si>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</si>
  <si>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</si>
  <si>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</si>
  <si>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</si>
  <si>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</si>
  <si>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</si>
  <si>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</si>
  <si>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</si>
  <si>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</si>
  <si>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</si>
  <si>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</si>
  <si>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</si>
  <si>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</si>
  <si>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</si>
  <si>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</si>
  <si>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</si>
  <si>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</si>
  <si>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</si>
  <si>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</si>
  <si>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</si>
  <si>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</si>
  <si>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</si>
  <si>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</si>
  <si>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</si>
  <si>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</si>
  <si>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</si>
  <si>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</si>
  <si>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</si>
  <si>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</si>
  <si>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</si>
  <si>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</si>
  <si>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</si>
  <si>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</si>
  <si>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</si>
  <si>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</si>
  <si>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</si>
  <si>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</si>
  <si>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</si>
  <si>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</si>
  <si>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</si>
  <si>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</si>
  <si>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</si>
  <si>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</si>
  <si>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</si>
  <si>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</si>
  <si>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</si>
  <si>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</si>
  <si>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</si>
  <si>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</si>
  <si>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</si>
  <si>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</si>
  <si>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</si>
  <si>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</si>
  <si>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</si>
  <si>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</si>
  <si>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</si>
  <si>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</si>
  <si>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</si>
  <si>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</si>
  <si>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</si>
  <si>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</si>
  <si>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</si>
  <si>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</si>
  <si>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</si>
  <si>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</si>
  <si>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</si>
  <si>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</si>
  <si>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</si>
  <si>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</si>
  <si>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</si>
  <si>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</si>
  <si>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</si>
  <si>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</si>
  <si>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</si>
  <si>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</si>
  <si>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</si>
  <si>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</si>
  <si>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</si>
  <si>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</si>
  <si>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</si>
  <si>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</si>
  <si>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</si>
  <si>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</si>
  <si>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</si>
  <si>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</si>
  <si>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</si>
  <si>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</si>
  <si>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</si>
  <si>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</si>
  <si>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</si>
  <si>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</si>
  <si>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</si>
  <si>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</si>
  <si>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</si>
  <si>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</si>
  <si>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</si>
  <si>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</si>
  <si>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</si>
  <si>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</si>
  <si>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</si>
  <si>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</si>
  <si>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</si>
  <si>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</si>
  <si>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</si>
  <si>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</si>
  <si>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</si>
  <si>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</si>
  <si>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</si>
  <si>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</si>
  <si>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</si>
  <si>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</si>
  <si>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</si>
  <si>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</si>
  <si>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</si>
  <si>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</si>
  <si>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</si>
  <si>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</si>
  <si>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</si>
  <si>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</si>
  <si>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</si>
  <si>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</si>
  <si>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</si>
  <si>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</si>
  <si>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</si>
  <si>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</si>
  <si>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</si>
  <si>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</si>
  <si>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</si>
  <si>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</si>
  <si>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</si>
  <si>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</si>
  <si>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</si>
  <si>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</si>
  <si>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</si>
  <si>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</si>
  <si>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</si>
  <si>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</si>
  <si>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</si>
  <si>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</si>
  <si>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</si>
  <si>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</si>
  <si>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</si>
  <si>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</si>
  <si>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</si>
  <si>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</si>
  <si>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</si>
  <si>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</si>
  <si>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</si>
  <si>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</si>
  <si>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</si>
  <si>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</si>
  <si>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</si>
  <si>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</si>
  <si>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</si>
  <si>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</si>
  <si>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</si>
  <si>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</si>
  <si>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</si>
  <si>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</si>
  <si>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</si>
  <si>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</si>
  <si>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</si>
  <si>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</si>
  <si>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</si>
  <si>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</si>
  <si>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</si>
  <si>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</si>
  <si>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</si>
  <si>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</si>
  <si>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</si>
  <si>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</si>
  <si>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</si>
  <si>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</si>
  <si>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</si>
  <si>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</si>
  <si>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</si>
  <si>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</si>
  <si>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</si>
  <si>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</si>
  <si>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</si>
  <si>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</si>
  <si>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</si>
  <si>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</si>
  <si>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</si>
  <si>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</si>
  <si>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</si>
  <si>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</si>
  <si>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</si>
  <si>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</si>
  <si>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</si>
  <si>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</si>
  <si>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</si>
  <si>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</si>
  <si>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</si>
  <si>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</si>
  <si>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</si>
  <si>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</si>
  <si>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</si>
  <si>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</si>
  <si>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</si>
  <si>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</si>
  <si>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</si>
  <si>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</si>
  <si>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</si>
  <si>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</si>
  <si>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</si>
  <si>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</si>
  <si>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</si>
  <si>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</si>
  <si>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</si>
  <si>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</si>
  <si>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</si>
  <si>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</si>
  <si>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</si>
  <si>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</si>
  <si>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</si>
  <si>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</si>
  <si>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</si>
  <si>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</si>
  <si>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</si>
  <si>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</si>
  <si>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</si>
  <si>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</si>
  <si>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</si>
  <si>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</si>
  <si>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</si>
  <si>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</si>
  <si>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</si>
  <si>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</si>
  <si>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</si>
  <si>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</si>
  <si>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</si>
  <si>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</si>
  <si>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</si>
  <si>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</si>
  <si>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</si>
  <si>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</si>
  <si>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</si>
  <si>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</si>
  <si>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</si>
  <si>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</si>
  <si>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</si>
  <si>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</si>
  <si>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</si>
  <si>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</si>
  <si>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</si>
  <si>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</si>
  <si>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</si>
  <si>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</si>
  <si>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</si>
  <si>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</si>
  <si>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</si>
  <si>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</si>
  <si>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</si>
  <si>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</si>
  <si>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</si>
  <si>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</si>
  <si>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</si>
  <si>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</si>
  <si>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</si>
  <si>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</si>
  <si>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</si>
  <si>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</si>
  <si>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</si>
  <si>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</si>
  <si>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</si>
  <si>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</si>
  <si>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</si>
  <si>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</si>
  <si>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</si>
  <si>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</si>
  <si>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</si>
  <si>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</si>
  <si>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</si>
  <si>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</si>
  <si>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</si>
  <si>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</si>
  <si>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</si>
  <si>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</si>
  <si>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</si>
  <si>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</si>
  <si>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</si>
  <si>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</si>
  <si>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</si>
  <si>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</si>
  <si>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</si>
  <si>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</si>
  <si>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</si>
  <si>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</si>
  <si>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</si>
  <si>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</si>
  <si>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</si>
  <si>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</si>
  <si>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</si>
  <si>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</si>
  <si>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</si>
  <si>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</si>
  <si>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</si>
  <si>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</si>
  <si>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</si>
  <si>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</si>
  <si>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</si>
  <si>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</si>
  <si>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</si>
  <si>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</si>
  <si>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</si>
  <si>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</si>
  <si>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</si>
  <si>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</si>
  <si>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</si>
  <si>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</si>
  <si>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</si>
  <si>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</si>
  <si>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</si>
  <si>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</si>
  <si>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</si>
  <si>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</si>
  <si>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</si>
  <si>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</si>
  <si>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</si>
  <si>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</si>
  <si>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</si>
  <si>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</si>
  <si>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</si>
  <si>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</si>
  <si>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</si>
  <si>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</si>
  <si>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</si>
  <si>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</si>
  <si>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</si>
  <si>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</si>
  <si>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</si>
  <si>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</si>
  <si>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</si>
  <si>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</si>
  <si>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</si>
  <si>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</si>
  <si>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</si>
  <si>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</si>
  <si>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</si>
  <si>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</si>
  <si>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</si>
  <si>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</si>
  <si>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</si>
  <si>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</si>
  <si>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</si>
  <si>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</si>
  <si>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</si>
  <si>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</si>
  <si>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</si>
  <si>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</si>
  <si>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</si>
  <si>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</si>
  <si>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</si>
  <si>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</si>
  <si>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</si>
  <si>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</si>
  <si>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</si>
  <si>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</si>
  <si>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</si>
  <si>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</si>
  <si>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</si>
  <si>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</si>
  <si>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</si>
  <si>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</si>
  <si>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</si>
  <si>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</si>
  <si>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</si>
  <si>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</si>
  <si>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</si>
  <si>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</si>
  <si>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</si>
  <si>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</si>
  <si>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</si>
  <si>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</si>
  <si>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</si>
  <si>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</si>
  <si>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</si>
  <si>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</si>
  <si>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</si>
  <si>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</si>
  <si>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</si>
  <si>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</si>
  <si>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</si>
  <si>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</si>
  <si>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</si>
  <si>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</si>
  <si>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</si>
  <si>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</si>
  <si>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</si>
  <si>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</si>
  <si>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</si>
  <si>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</si>
  <si>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</si>
  <si>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</si>
  <si>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</si>
  <si>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</si>
  <si>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</si>
  <si>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</si>
  <si>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</si>
  <si>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</si>
  <si>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</si>
  <si>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</si>
  <si>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</si>
  <si>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</si>
  <si>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</si>
  <si>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</si>
  <si>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</si>
  <si>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</si>
  <si>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</si>
  <si>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</si>
  <si>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</si>
  <si>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</si>
  <si>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</si>
  <si>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</si>
  <si>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</si>
  <si>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</si>
  <si>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</si>
  <si>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</si>
  <si>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</si>
  <si>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</si>
  <si>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</si>
  <si>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</si>
  <si>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</si>
  <si>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</si>
  <si>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</si>
  <si>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</si>
  <si>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</si>
  <si>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</si>
  <si>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</si>
  <si>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</si>
  <si>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</si>
  <si>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</si>
  <si>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</si>
  <si>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</si>
  <si>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</si>
  <si>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</si>
  <si>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</si>
  <si>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</si>
  <si>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</si>
  <si>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</si>
  <si>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</si>
  <si>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</si>
  <si>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</si>
  <si>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</si>
  <si>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</si>
  <si>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</si>
  <si>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</si>
  <si>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</si>
  <si>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</si>
  <si>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</si>
  <si>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</si>
  <si>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</si>
  <si>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</si>
  <si>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</si>
  <si>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</si>
  <si>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</si>
  <si>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</si>
  <si>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</si>
  <si>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</si>
  <si>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</si>
  <si>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</si>
  <si>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</si>
  <si>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</si>
  <si>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</si>
  <si>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</si>
  <si>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</si>
  <si>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</si>
  <si>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</si>
  <si>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</si>
  <si>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</si>
  <si>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</si>
  <si>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</si>
  <si>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</si>
  <si>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</si>
  <si>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</si>
  <si>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</si>
  <si>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</si>
  <si>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</si>
  <si>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</si>
  <si>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</si>
  <si>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</si>
  <si>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</si>
  <si>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</si>
  <si>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</si>
  <si>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</si>
  <si>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</si>
  <si>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</si>
  <si>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</si>
  <si>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</si>
  <si>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</si>
  <si>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</si>
  <si>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</si>
  <si>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</si>
  <si>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</si>
  <si>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</si>
  <si>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</si>
  <si>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</si>
  <si>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</si>
  <si>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</si>
  <si>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</si>
  <si>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</si>
  <si>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</si>
  <si>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</si>
  <si>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</si>
  <si>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</si>
  <si>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</si>
  <si>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</si>
  <si>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</si>
  <si>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</si>
  <si>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</si>
  <si>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</si>
  <si>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</si>
  <si>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</si>
  <si>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</si>
  <si>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</si>
  <si>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</si>
  <si>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</si>
  <si>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</si>
  <si>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</si>
  <si>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</si>
  <si>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</si>
  <si>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</si>
  <si>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</si>
  <si>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</si>
  <si>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</si>
  <si>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</si>
  <si>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</si>
  <si>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</si>
  <si>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</si>
  <si>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</si>
  <si>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</si>
  <si>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</si>
  <si>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</si>
  <si>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</si>
  <si>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</si>
  <si>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</si>
  <si>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</si>
  <si>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</si>
  <si>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</si>
  <si>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</si>
  <si>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</si>
  <si>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</si>
  <si>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</si>
  <si>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</si>
  <si>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</si>
  <si>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</si>
  <si>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</si>
  <si>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</si>
  <si>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</si>
  <si>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</si>
  <si>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</si>
  <si>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</si>
  <si>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</si>
  <si>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</si>
  <si>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</si>
  <si>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</si>
  <si>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</si>
  <si>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</si>
  <si>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</si>
  <si>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</si>
  <si>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</si>
  <si>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</si>
  <si>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</si>
  <si>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</si>
  <si>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</si>
  <si>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</si>
  <si>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</si>
  <si>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</si>
  <si>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</si>
  <si>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</si>
  <si>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</si>
  <si>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</si>
  <si>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</si>
  <si>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</si>
  <si>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</si>
  <si>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</si>
  <si>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</si>
  <si>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</si>
  <si>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</si>
  <si>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</si>
  <si>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</si>
  <si>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</si>
  <si>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</si>
  <si>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</si>
  <si>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</si>
  <si>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</si>
  <si>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</si>
  <si>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</si>
  <si>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</si>
  <si>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</si>
  <si>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</si>
  <si>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</si>
  <si>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</si>
  <si>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</si>
  <si>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</si>
  <si>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</si>
  <si>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</si>
  <si>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</si>
  <si>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</si>
  <si>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</si>
  <si>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</si>
  <si>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</si>
  <si>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</si>
  <si>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</si>
  <si>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</si>
  <si>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</si>
  <si>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</si>
  <si>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</si>
  <si>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</si>
  <si>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</si>
  <si>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</si>
  <si>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</si>
  <si>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</si>
  <si>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</si>
  <si>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</si>
  <si>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</si>
  <si>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</si>
  <si>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</si>
  <si>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</si>
  <si>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</si>
  <si>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</si>
  <si>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</si>
  <si>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</si>
  <si>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</si>
  <si>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</si>
  <si>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</si>
  <si>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</si>
  <si>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</si>
  <si>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</si>
  <si>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</si>
  <si>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</si>
  <si>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</si>
  <si>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</si>
  <si>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</si>
  <si>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</si>
  <si>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</si>
  <si>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</si>
  <si>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</si>
  <si>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</si>
  <si>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</si>
  <si>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</si>
  <si>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</si>
  <si>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</si>
  <si>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</si>
  <si>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</si>
  <si>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</si>
  <si>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</si>
  <si>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</si>
  <si>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</si>
  <si>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</si>
  <si>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</si>
  <si>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</si>
  <si>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</si>
  <si>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</si>
  <si>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</si>
  <si>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</si>
  <si>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</si>
  <si>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</si>
  <si>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</si>
  <si>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</si>
  <si>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</si>
  <si>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</si>
  <si>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</si>
  <si>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</si>
  <si>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</si>
  <si>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</si>
  <si>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</si>
  <si>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</si>
  <si>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</si>
  <si>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</si>
  <si>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</si>
  <si>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</si>
  <si>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</si>
  <si>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</si>
  <si>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</si>
  <si>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</si>
  <si>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</si>
  <si>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</si>
  <si>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</si>
  <si>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</si>
  <si>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</si>
  <si>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</si>
  <si>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</si>
  <si>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</si>
  <si>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</si>
  <si>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</si>
  <si>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</si>
  <si>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</si>
  <si>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</si>
  <si>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</si>
  <si>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</si>
  <si>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</si>
  <si>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</si>
  <si>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</si>
  <si>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</si>
  <si>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</si>
  <si>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</si>
  <si>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</si>
  <si>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</si>
  <si>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</si>
  <si>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</si>
  <si>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</si>
  <si>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</si>
  <si>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</si>
  <si>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</si>
  <si>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</si>
  <si>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</si>
  <si>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</si>
  <si>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</si>
  <si>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</si>
  <si>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</si>
  <si>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</si>
  <si>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</si>
  <si>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</si>
  <si>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</si>
  <si>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</si>
  <si>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</si>
  <si>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</si>
  <si>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</si>
  <si>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</si>
  <si>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</si>
  <si>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</si>
  <si>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</si>
  <si>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</si>
  <si>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</si>
  <si>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</si>
  <si>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</si>
  <si>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</si>
  <si>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</si>
  <si>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</si>
  <si>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</si>
  <si>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</si>
  <si>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</si>
  <si>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</si>
  <si>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</si>
  <si>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</si>
  <si>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</si>
  <si>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</si>
  <si>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</si>
  <si>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</si>
  <si>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</si>
  <si>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</si>
  <si>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</si>
  <si>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</si>
  <si>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</si>
  <si>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</si>
  <si>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</si>
  <si>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</si>
  <si>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</si>
  <si>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</si>
  <si>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</si>
  <si>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</si>
  <si>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</si>
  <si>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</si>
  <si>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</si>
  <si>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</si>
  <si>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</si>
  <si>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</si>
  <si>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</si>
  <si>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</si>
  <si>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</si>
  <si>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</si>
  <si>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</si>
  <si>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</si>
  <si>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</si>
  <si>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</si>
  <si>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</si>
  <si>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</si>
  <si>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</si>
  <si>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</si>
  <si>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</si>
  <si>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</si>
  <si>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</si>
  <si>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</si>
  <si>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</si>
  <si>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</si>
  <si>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</si>
  <si>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</si>
  <si>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</si>
  <si>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</si>
  <si>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</si>
  <si>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</si>
  <si>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</si>
  <si>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</si>
  <si>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</si>
  <si>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</si>
  <si>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</si>
  <si>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</si>
  <si>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</si>
  <si>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</si>
  <si>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</si>
  <si>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</si>
  <si>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</si>
  <si>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</si>
  <si>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</si>
  <si>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</si>
  <si>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</si>
  <si>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</si>
  <si>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</si>
  <si>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</si>
  <si>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</si>
  <si>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</si>
  <si>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</si>
  <si>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</si>
  <si>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</si>
  <si>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</si>
  <si>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</si>
  <si>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</si>
  <si>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</si>
  <si>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</si>
  <si>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</si>
  <si>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</si>
  <si>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</si>
  <si>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</si>
  <si>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</si>
  <si>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</si>
  <si>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</si>
  <si>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</si>
  <si>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</si>
  <si>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</si>
  <si>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</si>
  <si>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</si>
  <si>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</si>
  <si>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</si>
  <si>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</si>
  <si>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</si>
  <si>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</si>
  <si>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</si>
  <si>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</si>
  <si>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</si>
  <si>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</si>
  <si>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</si>
  <si>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</si>
  <si>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</si>
  <si>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</si>
  <si>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</si>
  <si>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</si>
  <si>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</si>
  <si>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</si>
  <si>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</si>
  <si>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</si>
  <si>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</si>
  <si>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</si>
  <si>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</si>
  <si>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</si>
  <si>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</si>
  <si>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</si>
  <si>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</si>
  <si>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</si>
  <si>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</si>
  <si>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</si>
  <si>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</si>
  <si>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</si>
  <si>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</si>
  <si>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</si>
  <si>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</si>
  <si>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</si>
  <si>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</si>
  <si>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</si>
  <si>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</si>
  <si>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</si>
  <si>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</si>
  <si>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</si>
  <si>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</si>
  <si>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</si>
  <si>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</si>
  <si>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</si>
  <si>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</si>
  <si>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</si>
  <si>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</si>
  <si>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</si>
  <si>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</si>
  <si>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</si>
  <si>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</si>
  <si>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</si>
  <si>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</si>
  <si>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</si>
  <si>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</si>
  <si>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</si>
  <si>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</si>
  <si>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</si>
  <si>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</si>
  <si>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</si>
  <si>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</si>
  <si>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</si>
  <si>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</si>
  <si>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</si>
  <si>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</si>
  <si>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</si>
  <si>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</si>
  <si>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</si>
  <si>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</si>
  <si>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</si>
  <si>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</si>
  <si>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</si>
  <si>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</si>
  <si>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</si>
  <si>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</si>
  <si>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</si>
  <si>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</si>
  <si>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</si>
  <si>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</si>
  <si>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</si>
  <si>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</si>
  <si>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</si>
  <si>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</si>
  <si>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</si>
  <si>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</si>
  <si>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</si>
  <si>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</si>
  <si>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</si>
  <si>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</si>
  <si>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</si>
  <si>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</si>
  <si>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</si>
  <si>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</si>
  <si>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</si>
  <si>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</si>
  <si>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</si>
  <si>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</si>
  <si>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</si>
  <si>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</si>
  <si>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</si>
  <si>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</si>
  <si>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</si>
  <si>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</si>
  <si>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</si>
  <si>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</si>
  <si>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</si>
  <si>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</si>
  <si>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</si>
  <si>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</si>
  <si>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</si>
  <si>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</si>
  <si>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</si>
  <si>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</si>
  <si>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</si>
  <si>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</si>
  <si>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</si>
  <si>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</si>
  <si>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</si>
  <si>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</si>
  <si>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</si>
  <si>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</si>
  <si>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</si>
  <si>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</si>
  <si>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</si>
  <si>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</si>
  <si>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</si>
  <si>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</si>
  <si>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</si>
  <si>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</si>
  <si>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</si>
  <si>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</si>
  <si>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</si>
  <si>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</si>
  <si>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</si>
  <si>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</si>
  <si>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</si>
  <si>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</si>
  <si>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</si>
  <si>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</si>
  <si>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</si>
  <si>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</si>
  <si>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</si>
  <si>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</si>
  <si>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</si>
  <si>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</si>
  <si>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</si>
  <si>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</si>
  <si>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</si>
  <si>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</si>
  <si>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</si>
  <si>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</si>
  <si>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</si>
  <si>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</si>
  <si>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</si>
  <si>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</si>
  <si>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</si>
  <si>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</si>
  <si>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</si>
  <si>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</si>
  <si>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</si>
  <si>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</si>
  <si>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</si>
  <si>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</si>
  <si>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</si>
  <si>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</si>
  <si>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</si>
  <si>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</si>
  <si>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</si>
  <si>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</si>
  <si>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</si>
  <si>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</si>
  <si>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</si>
  <si>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</si>
  <si>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</si>
  <si>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</si>
  <si>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</si>
  <si>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</si>
  <si>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</si>
  <si>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</si>
  <si>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</si>
  <si>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</si>
  <si>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</si>
  <si>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</si>
  <si>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</si>
  <si>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</si>
  <si>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</si>
  <si>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</si>
  <si>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</si>
  <si>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</si>
  <si>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</si>
  <si>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</si>
  <si>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</si>
  <si>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</si>
  <si>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</si>
  <si>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</si>
  <si>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</si>
  <si>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</si>
  <si>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</si>
  <si>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</si>
  <si>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</si>
  <si>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</si>
  <si>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</si>
  <si>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</si>
  <si>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</si>
  <si>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</si>
  <si>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</si>
  <si>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</si>
  <si>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</si>
  <si>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</si>
  <si>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</si>
  <si>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</si>
  <si>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</si>
  <si>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</si>
  <si>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</si>
  <si>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</si>
  <si>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</si>
  <si>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</si>
  <si>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</si>
  <si>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</si>
  <si>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</si>
  <si>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</si>
  <si>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</si>
  <si>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</si>
  <si>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</si>
  <si>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</si>
  <si>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</si>
  <si>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</si>
  <si>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</si>
  <si>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</si>
  <si>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</si>
  <si>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</si>
  <si>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</si>
  <si>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</si>
  <si>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</si>
  <si>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</si>
  <si>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</si>
  <si>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</si>
  <si>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</si>
  <si>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</si>
  <si>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</si>
  <si>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</si>
  <si>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</si>
  <si>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</si>
  <si>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</si>
  <si>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</si>
  <si>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</si>
  <si>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</si>
  <si>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</si>
  <si>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</si>
  <si>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</si>
  <si>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</si>
  <si>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</si>
  <si>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</si>
  <si>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</si>
  <si>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</si>
  <si>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</si>
  <si>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</si>
  <si>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</si>
  <si>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</si>
  <si>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</si>
  <si>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</si>
  <si>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</si>
  <si>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</si>
  <si>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</si>
  <si>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</si>
  <si>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</si>
  <si>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</si>
  <si>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</si>
  <si>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</si>
  <si>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</si>
  <si>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</si>
  <si>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</si>
  <si>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</si>
  <si>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</si>
  <si>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</si>
  <si>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</si>
  <si>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</si>
  <si>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</si>
  <si>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</si>
  <si>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</si>
  <si>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</si>
  <si>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</si>
  <si>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</si>
  <si>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</si>
  <si>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</si>
  <si>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</si>
  <si>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</si>
  <si>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</si>
  <si>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</si>
  <si>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</si>
  <si>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</si>
  <si>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</si>
  <si>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</si>
  <si>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</si>
  <si>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</si>
  <si>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</si>
  <si>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</si>
  <si>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</si>
  <si>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</si>
  <si>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</si>
  <si>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</si>
  <si>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</si>
  <si>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</si>
  <si>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</si>
  <si>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</si>
  <si>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</si>
  <si>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</si>
  <si>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</si>
  <si>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</si>
  <si>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</si>
  <si>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</si>
  <si>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</si>
  <si>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</si>
  <si>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</si>
  <si>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</si>
  <si>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</si>
  <si>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</si>
  <si>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</si>
  <si>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</si>
  <si>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</si>
  <si>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</si>
  <si>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</si>
  <si>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</si>
  <si>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</si>
  <si>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</si>
  <si>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</si>
  <si>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</si>
  <si>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</si>
  <si>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</si>
  <si>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</si>
  <si>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</si>
  <si>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</si>
  <si>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</si>
  <si>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</si>
  <si>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</si>
  <si>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</si>
  <si>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</si>
  <si>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</si>
  <si>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</si>
  <si>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</si>
  <si>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</si>
  <si>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</si>
  <si>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</si>
  <si>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</si>
  <si>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</si>
  <si>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</si>
  <si>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</si>
  <si>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</si>
  <si>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</si>
  <si>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</si>
  <si>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</si>
  <si>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</si>
  <si>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</si>
  <si>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</si>
  <si>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</si>
  <si>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</si>
  <si>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</si>
  <si>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</si>
  <si>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</si>
  <si>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</si>
  <si>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</si>
  <si>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</si>
  <si>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</si>
  <si>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</si>
  <si>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</si>
  <si>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</si>
  <si>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</si>
  <si>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</si>
  <si>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</si>
  <si>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</si>
  <si>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</si>
  <si>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</si>
  <si>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</si>
  <si>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</si>
  <si>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</si>
  <si>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</si>
  <si>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</si>
  <si>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</si>
  <si>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</si>
  <si>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</si>
  <si>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</si>
  <si>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</si>
  <si>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</si>
  <si>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</si>
  <si>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</si>
  <si>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</si>
  <si>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</si>
  <si>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</si>
  <si>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</si>
  <si>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</si>
  <si>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</si>
  <si>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</si>
  <si>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</si>
  <si>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</si>
  <si>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</si>
  <si>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</si>
  <si>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</si>
  <si>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</si>
  <si>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</si>
  <si>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</si>
  <si>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</si>
  <si>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</si>
  <si>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</si>
  <si>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</si>
  <si>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</si>
  <si>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</si>
  <si>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</si>
  <si>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</si>
  <si>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</si>
  <si>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</si>
  <si>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</si>
  <si>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</si>
  <si>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</si>
  <si>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</si>
  <si>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</si>
  <si>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</si>
  <si>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</si>
  <si>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</si>
  <si>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</si>
  <si>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</si>
  <si>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</si>
  <si>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</si>
  <si>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</si>
  <si>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</si>
  <si>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</si>
  <si>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</si>
  <si>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</si>
  <si>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</si>
  <si>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</si>
  <si>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</si>
  <si>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</si>
  <si>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</si>
  <si>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</si>
  <si>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</si>
  <si>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</si>
  <si>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</si>
  <si>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</si>
  <si>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</si>
  <si>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</si>
  <si>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</si>
  <si>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</si>
  <si>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</si>
  <si>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</si>
  <si>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</si>
  <si>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</si>
  <si>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</si>
  <si>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</si>
  <si>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</si>
  <si>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</si>
  <si>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</si>
  <si>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</si>
  <si>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</si>
  <si>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</si>
  <si>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</si>
  <si>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</si>
  <si>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</si>
  <si>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</si>
  <si>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</si>
  <si>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</si>
  <si>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</si>
  <si>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</si>
  <si>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</si>
  <si>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</si>
  <si>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</si>
  <si>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</si>
  <si>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</si>
  <si>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</si>
  <si>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</si>
  <si>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</si>
  <si>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</si>
  <si>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</si>
  <si>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</si>
  <si>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</si>
  <si>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</si>
  <si>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</si>
  <si>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</si>
  <si>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</si>
  <si>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</si>
  <si>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</si>
  <si>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</si>
  <si>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</si>
  <si>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</si>
  <si>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</si>
  <si>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</si>
  <si>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</si>
  <si>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</si>
  <si>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</si>
  <si>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</si>
  <si>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</si>
  <si>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</si>
  <si>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</si>
  <si>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</si>
  <si>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</si>
  <si>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</si>
  <si>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</si>
  <si>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</si>
  <si>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</si>
  <si>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</si>
  <si>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</si>
  <si>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</si>
  <si>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</si>
  <si>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</si>
  <si>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</si>
  <si>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</si>
  <si>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</si>
  <si>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</si>
  <si>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</si>
  <si>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</si>
  <si>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</si>
  <si>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</si>
  <si>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</si>
  <si>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</si>
  <si>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</si>
  <si>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</si>
  <si>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</si>
  <si>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</si>
  <si>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</si>
  <si>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</si>
  <si>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</si>
  <si>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</si>
  <si>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</si>
  <si>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</si>
  <si>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</si>
  <si>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</si>
  <si>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</si>
  <si>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</si>
  <si>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</si>
  <si>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</si>
  <si>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</si>
  <si>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</si>
  <si>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</si>
  <si>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</si>
  <si>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</si>
  <si>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</si>
  <si>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</si>
  <si>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</si>
  <si>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</si>
  <si>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</si>
  <si>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</si>
  <si>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</si>
  <si>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</si>
  <si>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</si>
  <si>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</si>
  <si>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</si>
  <si>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</si>
  <si>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</si>
  <si>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</si>
  <si>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</si>
  <si>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</si>
  <si>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</si>
  <si>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</si>
  <si>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</si>
  <si>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</si>
  <si>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</si>
  <si>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</si>
  <si>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</si>
  <si>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</si>
  <si>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</si>
  <si>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</si>
  <si>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</si>
  <si>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</si>
  <si>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</si>
  <si>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</si>
  <si>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</si>
  <si>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</si>
  <si>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</si>
  <si>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</si>
  <si>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</si>
  <si>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</si>
  <si>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</si>
  <si>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</si>
  <si>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</si>
  <si>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</si>
  <si>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</si>
  <si>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</si>
  <si>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</si>
  <si>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</si>
  <si>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</si>
  <si>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</si>
  <si>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</si>
  <si>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</si>
  <si>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</si>
  <si>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</si>
  <si>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</si>
  <si>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</si>
  <si>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</si>
  <si>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</si>
  <si>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</si>
  <si>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</si>
  <si>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</si>
  <si>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</si>
  <si>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</si>
  <si>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</si>
  <si>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</si>
  <si>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</si>
  <si>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</si>
  <si>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</si>
  <si>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</si>
  <si>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</si>
  <si>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</si>
  <si>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</si>
  <si>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</si>
  <si>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</si>
  <si>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</si>
  <si>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</si>
  <si>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</si>
  <si>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</si>
  <si>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</si>
  <si>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</si>
  <si>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</si>
  <si>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</si>
  <si>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</si>
  <si>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</si>
  <si>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</si>
  <si>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</si>
  <si>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</si>
  <si>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</si>
  <si>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</si>
  <si>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</si>
  <si>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</si>
  <si>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</si>
  <si>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</si>
  <si>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</si>
  <si>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</si>
  <si>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</si>
  <si>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</si>
  <si>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</si>
  <si>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</si>
  <si>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</si>
  <si>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</si>
  <si>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</si>
  <si>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</si>
  <si>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</si>
  <si>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</si>
  <si>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</si>
  <si>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</si>
  <si>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</si>
  <si>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</si>
  <si>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</si>
  <si>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</si>
  <si>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</si>
  <si>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</si>
  <si>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</si>
  <si>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</si>
  <si>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</si>
  <si>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</si>
  <si>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</si>
  <si>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</si>
  <si>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</si>
  <si>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</si>
  <si>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</si>
  <si>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</si>
  <si>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</si>
  <si>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</si>
  <si>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</si>
  <si>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</si>
  <si>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</si>
  <si>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</si>
  <si>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</si>
  <si>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</si>
  <si>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</si>
  <si>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</si>
  <si>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</si>
  <si>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</si>
  <si>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</si>
  <si>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</si>
  <si>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</si>
  <si>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</si>
  <si>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</si>
  <si>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</si>
  <si>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</si>
  <si>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</si>
  <si>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</si>
  <si>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</si>
  <si>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</si>
  <si>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</si>
  <si>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</si>
  <si>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</si>
  <si>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</si>
  <si>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</si>
  <si>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</si>
  <si>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</si>
  <si>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</si>
  <si>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</si>
  <si>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</si>
  <si>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</si>
  <si>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</si>
  <si>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</si>
  <si>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</si>
  <si>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</si>
  <si>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</si>
  <si>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</si>
  <si>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</si>
  <si>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</si>
  <si>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</si>
  <si>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</si>
  <si>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</si>
  <si>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</si>
  <si>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</si>
  <si>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</si>
  <si>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</si>
  <si>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</si>
  <si>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</si>
  <si>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</si>
  <si>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</si>
  <si>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</si>
  <si>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</si>
  <si>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</si>
  <si>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</si>
  <si>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</si>
  <si>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</si>
  <si>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</si>
  <si>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</si>
  <si>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</si>
  <si>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</si>
  <si>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</si>
  <si>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</si>
  <si>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</si>
  <si>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</si>
  <si>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</si>
  <si>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</si>
  <si>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</si>
  <si>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</si>
  <si>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</si>
  <si>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</si>
  <si>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</si>
  <si>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</si>
  <si>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</si>
  <si>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</si>
  <si>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</si>
  <si>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</si>
  <si>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</si>
  <si>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</si>
  <si>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</si>
  <si>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</si>
  <si>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</si>
  <si>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</si>
  <si>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</si>
  <si>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</si>
  <si>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</si>
  <si>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</si>
  <si>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</si>
  <si>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</si>
  <si>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</si>
  <si>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</si>
  <si>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</si>
  <si>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</si>
  <si>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</si>
  <si>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</si>
  <si>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</si>
  <si>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</si>
  <si>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</si>
  <si>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</si>
  <si>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</si>
  <si>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</si>
  <si>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</si>
  <si>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</si>
  <si>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</si>
  <si>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</si>
  <si>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</si>
  <si>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</si>
  <si>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</si>
  <si>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</si>
  <si>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</si>
  <si>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</si>
  <si>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</si>
  <si>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</si>
  <si>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</si>
  <si>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</si>
  <si>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</si>
  <si>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</si>
  <si>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</si>
  <si>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</si>
  <si>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</si>
  <si>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</si>
  <si>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</si>
  <si>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</si>
  <si>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</si>
  <si>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</si>
  <si>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</si>
  <si>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</si>
  <si>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</si>
  <si>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</si>
  <si>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</si>
  <si>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</si>
  <si>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</si>
  <si>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</si>
  <si>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</si>
  <si>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</si>
  <si>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</si>
  <si>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</si>
  <si>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</si>
  <si>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</si>
  <si>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</si>
  <si>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</si>
  <si>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</si>
  <si>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</si>
  <si>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</si>
  <si>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</si>
  <si>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</si>
  <si>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</si>
  <si>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</si>
  <si>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</si>
  <si>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</si>
  <si>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</si>
  <si>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</si>
  <si>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</si>
  <si>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</si>
  <si>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</si>
  <si>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</si>
  <si>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</si>
  <si>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</si>
  <si>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</si>
  <si>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</si>
  <si>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</si>
  <si>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</si>
  <si>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</si>
  <si>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</si>
  <si>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</si>
  <si>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</si>
  <si>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</si>
  <si>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</si>
  <si>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</si>
  <si>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</si>
  <si>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</si>
  <si>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</si>
  <si>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</si>
  <si>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</si>
  <si>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</si>
  <si>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</si>
  <si>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</si>
  <si>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</si>
  <si>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</si>
  <si>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</si>
  <si>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</si>
  <si>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</si>
  <si>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</si>
  <si>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</si>
  <si>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</si>
  <si>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</si>
  <si>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</si>
  <si>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</si>
  <si>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</si>
  <si>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</si>
  <si>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</si>
  <si>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</si>
  <si>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</si>
  <si>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</si>
  <si>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</si>
  <si>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</si>
  <si>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</si>
  <si>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</si>
  <si>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</si>
  <si>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</si>
  <si>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</si>
  <si>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</si>
  <si>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</si>
  <si>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</si>
  <si>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</si>
  <si>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</si>
  <si>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</si>
  <si>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</si>
  <si>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</si>
  <si>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</si>
  <si>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</si>
  <si>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</si>
  <si>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</si>
  <si>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</si>
  <si>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</si>
  <si>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</si>
  <si>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</si>
  <si>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</si>
  <si>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</si>
  <si>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</si>
  <si>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</si>
  <si>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</si>
  <si>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</si>
  <si>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</si>
  <si>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</si>
  <si>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</si>
  <si>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</si>
  <si>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</si>
  <si>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</si>
  <si>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</si>
  <si>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</si>
  <si>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</si>
  <si>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</si>
  <si>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</si>
  <si>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</si>
  <si>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</si>
  <si>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</si>
  <si>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</si>
  <si>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</si>
  <si>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</si>
  <si>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</si>
  <si>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</si>
  <si>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</si>
  <si>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</si>
  <si>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</si>
  <si>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</si>
  <si>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</si>
  <si>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</si>
  <si>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</si>
  <si>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</si>
  <si>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</si>
  <si>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</si>
  <si>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</si>
  <si>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</si>
  <si>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</si>
  <si>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</si>
  <si>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</si>
  <si>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</si>
  <si>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</si>
  <si>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</si>
  <si>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</si>
  <si>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</si>
  <si>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</si>
  <si>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</si>
  <si>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</si>
  <si>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</si>
  <si>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</si>
  <si>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</si>
  <si>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</si>
  <si>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</si>
  <si>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</si>
  <si>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</si>
  <si>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</si>
  <si>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</si>
  <si>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</si>
  <si>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</si>
  <si>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</si>
  <si>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</si>
  <si>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</si>
  <si>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</si>
  <si>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</si>
  <si>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</si>
  <si>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</si>
  <si>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</si>
  <si>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</si>
  <si>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</si>
  <si>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</si>
  <si>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</si>
  <si>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</si>
  <si>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</si>
  <si>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</si>
  <si>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</si>
  <si>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</si>
  <si>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</si>
  <si>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</si>
  <si>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</si>
  <si>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</si>
  <si>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</si>
  <si>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</si>
  <si>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</si>
  <si>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</si>
  <si>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</si>
  <si>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</si>
  <si>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</si>
  <si>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</si>
  <si>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</si>
  <si>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</si>
  <si>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</si>
  <si>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</si>
  <si>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</si>
  <si>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</si>
  <si>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</si>
  <si>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</si>
  <si>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</si>
  <si>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</si>
  <si>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</si>
  <si>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</si>
  <si>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</si>
  <si>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</si>
  <si>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</si>
  <si>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</si>
  <si>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</si>
  <si>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</si>
  <si>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</si>
  <si>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</si>
  <si>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</si>
  <si>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</si>
  <si>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</si>
  <si>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</si>
  <si>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</si>
  <si>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</si>
  <si>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</si>
  <si>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</si>
  <si>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</si>
  <si>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</si>
  <si>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</si>
  <si>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</si>
  <si>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</si>
  <si>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</si>
  <si>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</si>
  <si>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</si>
  <si>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</si>
  <si>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</si>
  <si>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</si>
  <si>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</si>
  <si>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</si>
  <si>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</si>
  <si>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</si>
  <si>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</si>
  <si>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</si>
  <si>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</si>
  <si>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</si>
  <si>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</si>
  <si>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</si>
  <si>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</si>
  <si>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</si>
  <si>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</si>
  <si>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</si>
  <si>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</si>
  <si>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</si>
  <si>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</si>
  <si>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</si>
  <si>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</si>
  <si>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</si>
  <si>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</si>
  <si>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</si>
  <si>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</si>
  <si>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</si>
  <si>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</si>
  <si>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</si>
  <si>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</si>
  <si>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</si>
  <si>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</si>
  <si>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</si>
  <si>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</si>
  <si>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</si>
  <si>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</si>
  <si>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</si>
  <si>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</si>
  <si>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</si>
  <si>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</si>
  <si>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</si>
  <si>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</si>
  <si>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</si>
  <si>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</si>
  <si>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</si>
  <si>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</si>
  <si>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</si>
  <si>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</si>
  <si>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</si>
  <si>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</si>
  <si>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</si>
  <si>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</si>
  <si>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</si>
  <si>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</si>
  <si>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</si>
  <si>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</si>
  <si>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</si>
  <si>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</si>
  <si>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</si>
  <si>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</si>
  <si>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</si>
  <si>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</si>
  <si>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</si>
  <si>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</si>
  <si>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</si>
  <si>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</si>
  <si>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</si>
  <si>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</si>
  <si>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</si>
  <si>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</si>
  <si>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</si>
  <si>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</si>
  <si>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</si>
  <si>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</si>
  <si>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</si>
  <si>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</si>
  <si>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</si>
  <si>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</si>
  <si>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</si>
  <si>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</si>
  <si>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</si>
  <si>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</si>
  <si>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</si>
  <si>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</si>
  <si>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</si>
  <si>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</si>
  <si>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</si>
  <si>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</si>
  <si>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</si>
  <si>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</si>
  <si>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</si>
  <si>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</si>
  <si>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</si>
  <si>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</si>
  <si>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</si>
  <si>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</si>
  <si>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</si>
  <si>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</si>
  <si>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</si>
  <si>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</si>
  <si>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</si>
  <si>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</si>
  <si>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</si>
  <si>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</si>
  <si>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</si>
  <si>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</si>
  <si>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</si>
  <si>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</si>
  <si>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</si>
  <si>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</si>
  <si>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</si>
  <si>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</si>
  <si>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</si>
  <si>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</si>
  <si>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</si>
  <si>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</si>
  <si>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</si>
  <si>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</si>
  <si>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</si>
  <si>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</si>
  <si>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</si>
  <si>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</si>
  <si>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</si>
  <si>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</si>
  <si>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</si>
  <si>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</si>
  <si>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</si>
  <si>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</si>
  <si>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</si>
  <si>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</si>
  <si>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</si>
  <si>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</si>
  <si>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</si>
  <si>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</si>
  <si>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</si>
  <si>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</si>
  <si>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</si>
  <si>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</si>
  <si>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</si>
  <si>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</si>
  <si>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</si>
  <si>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</si>
  <si>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</si>
  <si>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</si>
  <si>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</si>
  <si>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</si>
  <si>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</si>
  <si>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</si>
  <si>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</si>
  <si>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</si>
  <si>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</si>
  <si>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</si>
  <si>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</si>
  <si>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</si>
  <si>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</si>
  <si>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</si>
  <si>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</si>
  <si>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</si>
  <si>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</si>
  <si>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</si>
  <si>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</si>
  <si>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</si>
  <si>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</si>
  <si>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</si>
  <si>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</si>
  <si>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</si>
  <si>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</si>
  <si>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</si>
  <si>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</si>
  <si>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</si>
  <si>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</si>
  <si>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</si>
  <si>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</si>
  <si>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</si>
  <si>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</si>
  <si>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</si>
  <si>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</si>
  <si>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</si>
  <si>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</si>
  <si>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</si>
  <si>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</si>
  <si>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</si>
  <si>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</si>
  <si>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</si>
  <si>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</si>
  <si>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</si>
  <si>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</si>
  <si>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</si>
  <si>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</si>
  <si>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</si>
  <si>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</si>
  <si>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</si>
  <si>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</si>
  <si>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</si>
  <si>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</si>
  <si>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</si>
  <si>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</si>
  <si>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</si>
  <si>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</si>
  <si>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</si>
  <si>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</si>
  <si>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</si>
  <si>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</si>
  <si>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</si>
  <si>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</si>
  <si>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</si>
  <si>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</si>
  <si>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</si>
  <si>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</si>
  <si>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</si>
  <si>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</si>
  <si>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</si>
  <si>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</si>
  <si>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</si>
  <si>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</si>
  <si>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</si>
  <si>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</si>
  <si>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</si>
  <si>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</si>
  <si>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</si>
  <si>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</si>
  <si>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</si>
  <si>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</si>
  <si>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</si>
  <si>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</si>
  <si>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</si>
  <si>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</si>
  <si>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</si>
  <si>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</si>
  <si>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</si>
  <si>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</si>
  <si>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</si>
  <si>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</si>
  <si>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</si>
  <si>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</si>
  <si>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</si>
  <si>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</si>
  <si>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</si>
  <si>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</si>
  <si>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</si>
  <si>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</si>
  <si>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</si>
  <si>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</si>
  <si>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</si>
  <si>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</si>
  <si>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</si>
  <si>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</si>
  <si>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</si>
  <si>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</si>
  <si>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</si>
  <si>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</si>
  <si>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</si>
  <si>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</si>
  <si>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</si>
  <si>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</si>
  <si>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</si>
  <si>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</si>
  <si>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</si>
  <si>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</si>
  <si>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</si>
  <si>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</si>
  <si>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</si>
  <si>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</si>
  <si>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</si>
  <si>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</si>
  <si>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</si>
  <si>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</si>
  <si>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</si>
  <si>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</si>
  <si>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</si>
  <si>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</si>
  <si>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</si>
  <si>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</si>
  <si>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</si>
  <si>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</si>
  <si>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</si>
  <si>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</si>
  <si>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</si>
  <si>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</si>
  <si>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</si>
  <si>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</si>
  <si>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</si>
  <si>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</si>
  <si>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</si>
  <si>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</si>
  <si>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</si>
  <si>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</si>
  <si>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</si>
  <si>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</si>
  <si>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</si>
  <si>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</si>
  <si>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</si>
  <si>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</si>
  <si>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</si>
  <si>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</si>
  <si>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</si>
  <si>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</si>
  <si>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</si>
  <si>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</si>
  <si>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</si>
  <si>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</si>
  <si>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</si>
  <si>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</si>
  <si>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</si>
  <si>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</si>
  <si>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</si>
  <si>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</si>
  <si>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</si>
  <si>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</si>
  <si>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</si>
  <si>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</si>
  <si>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</si>
  <si>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</si>
  <si>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</si>
  <si>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</si>
  <si>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</si>
  <si>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</si>
  <si>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</si>
  <si>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</si>
  <si>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</si>
  <si>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</si>
  <si>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</si>
  <si>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</si>
  <si>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</si>
  <si>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</si>
  <si>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</si>
  <si>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</si>
  <si>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</si>
  <si>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</si>
  <si>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</si>
  <si>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</si>
  <si>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</si>
  <si>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</si>
  <si>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</si>
  <si>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</si>
  <si>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</si>
  <si>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</si>
  <si>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</si>
  <si>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</si>
  <si>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</si>
  <si>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</si>
  <si>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</si>
  <si>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</si>
  <si>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</si>
  <si>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</si>
  <si>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</si>
  <si>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</si>
  <si>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</si>
  <si>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</si>
  <si>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</si>
  <si>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</si>
  <si>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</si>
  <si>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</si>
  <si>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</si>
  <si>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</si>
  <si>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</si>
  <si>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</si>
  <si>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</si>
  <si>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</si>
  <si>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</si>
  <si>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</si>
  <si>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</si>
  <si>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</si>
  <si>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</si>
  <si>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</si>
  <si>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</si>
  <si>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</si>
  <si>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</si>
  <si>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</si>
  <si>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</si>
  <si>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</si>
  <si>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</si>
  <si>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</si>
  <si>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</si>
  <si>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</si>
  <si>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</si>
  <si>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</si>
  <si>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</si>
  <si>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</si>
  <si>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</si>
  <si>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</si>
  <si>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</si>
  <si>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</si>
  <si>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</si>
  <si>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</si>
  <si>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</si>
  <si>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</si>
  <si>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</si>
  <si>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</si>
  <si>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</si>
  <si>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</si>
  <si>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</si>
  <si>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</si>
  <si>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</si>
  <si>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</si>
  <si>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</si>
  <si>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</si>
  <si>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</si>
  <si>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</si>
  <si>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</si>
  <si>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</si>
  <si>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</si>
  <si>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</si>
  <si>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</si>
  <si>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</si>
  <si>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</si>
  <si>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</si>
  <si>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</si>
  <si>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</si>
  <si>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</si>
  <si>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</si>
  <si>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</si>
  <si>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</si>
  <si>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</si>
  <si>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</si>
  <si>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</si>
  <si>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</si>
  <si>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</si>
  <si>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</si>
  <si>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</si>
  <si>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</si>
  <si>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</si>
  <si>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</si>
  <si>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</si>
  <si>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</si>
  <si>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</si>
  <si>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</si>
  <si>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</si>
  <si>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</si>
  <si>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</si>
  <si>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</si>
  <si>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</si>
  <si>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</si>
  <si>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</si>
  <si>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</si>
  <si>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</si>
  <si>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</si>
  <si>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</si>
  <si>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</si>
  <si>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</si>
  <si>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</si>
  <si>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</si>
  <si>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</si>
  <si>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</si>
  <si>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</si>
  <si>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</si>
  <si>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</si>
  <si>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</si>
  <si>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</si>
  <si>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</si>
  <si>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</si>
  <si>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</si>
  <si>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</si>
  <si>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</si>
  <si>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</si>
  <si>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</si>
  <si>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</si>
  <si>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</si>
  <si>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</si>
  <si>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</si>
  <si>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</si>
  <si>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</si>
  <si>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</si>
  <si>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</si>
  <si>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</si>
  <si>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</si>
  <si>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</si>
  <si>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</si>
  <si>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</si>
  <si>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</si>
  <si>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</si>
  <si>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</si>
  <si>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</si>
  <si>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</si>
  <si>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</si>
  <si>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</si>
  <si>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</si>
  <si>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</si>
  <si>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</si>
  <si>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</si>
  <si>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</si>
  <si>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</si>
  <si>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</si>
  <si>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</si>
  <si>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</si>
  <si>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</si>
  <si>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</si>
  <si>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</si>
  <si>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</si>
  <si>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</si>
  <si>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</si>
  <si>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</si>
  <si>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</si>
  <si>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</si>
  <si>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</si>
  <si>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</si>
  <si>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</si>
  <si>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</si>
  <si>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</si>
  <si>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</si>
  <si>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</si>
  <si>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</si>
  <si>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</si>
  <si>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</si>
  <si>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</si>
  <si>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</si>
  <si>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</si>
  <si>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</si>
  <si>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</si>
  <si>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</si>
  <si>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</si>
  <si>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</si>
  <si>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</si>
  <si>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</si>
  <si>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</si>
  <si>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</si>
  <si>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</si>
  <si>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</si>
  <si>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</si>
  <si>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</si>
  <si>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</si>
  <si>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</si>
  <si>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</si>
  <si>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</si>
  <si>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</si>
  <si>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</si>
  <si>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</si>
  <si>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</si>
  <si>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</si>
  <si>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</si>
  <si>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</si>
  <si>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</si>
  <si>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</si>
  <si>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</si>
  <si>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</si>
  <si>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</si>
  <si>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</si>
  <si>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</si>
  <si>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</si>
  <si>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</si>
  <si>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</si>
  <si>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</si>
  <si>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</si>
  <si>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</si>
  <si>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</si>
  <si>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</si>
  <si>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</si>
  <si>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</si>
  <si>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</si>
  <si>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</si>
  <si>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</si>
  <si>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</si>
  <si>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</si>
  <si>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</si>
  <si>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</si>
  <si>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</si>
  <si>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</si>
  <si>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</si>
  <si>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</si>
  <si>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</si>
  <si>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</si>
  <si>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</si>
  <si>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</si>
  <si>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</si>
  <si>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</si>
  <si>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</si>
  <si>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</si>
  <si>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</si>
  <si>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</si>
  <si>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</si>
  <si>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</si>
  <si>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</si>
  <si>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</si>
  <si>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</si>
  <si>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</si>
  <si>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</si>
  <si>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</si>
  <si>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</si>
  <si>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</si>
  <si>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</si>
  <si>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</si>
  <si>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</si>
  <si>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</si>
  <si>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</si>
  <si>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</si>
  <si>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</si>
  <si>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</si>
  <si>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</si>
  <si>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</si>
  <si>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</si>
  <si>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</si>
  <si>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</si>
  <si>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</si>
  <si>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</si>
  <si>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</si>
  <si>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</si>
  <si>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</si>
  <si>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</si>
  <si>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</si>
  <si>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</si>
  <si>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</si>
  <si>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</si>
  <si>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</si>
  <si>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</si>
  <si>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</si>
  <si>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</si>
  <si>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</si>
  <si>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</si>
  <si>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</si>
  <si>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</si>
  <si>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</si>
  <si>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</si>
  <si>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</si>
  <si>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</si>
  <si>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</si>
  <si>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</si>
  <si>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</si>
  <si>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</si>
  <si>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</si>
  <si>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</si>
  <si>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</si>
  <si>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</si>
  <si>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</si>
  <si>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</si>
  <si>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</si>
  <si>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</si>
  <si>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</si>
  <si>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</si>
  <si>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</si>
  <si>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</si>
  <si>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</si>
  <si>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</si>
  <si>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</si>
  <si>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</si>
  <si>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</si>
  <si>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</si>
  <si>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</si>
  <si>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</si>
  <si>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</si>
  <si>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</si>
  <si>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</si>
  <si>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</si>
  <si>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</si>
  <si>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</si>
  <si>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</si>
  <si>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</si>
  <si>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</si>
  <si>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</si>
  <si>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</si>
  <si>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</si>
  <si>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</si>
  <si>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</si>
  <si>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</si>
  <si>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</si>
  <si>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</si>
  <si>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</si>
  <si>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</si>
  <si>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</si>
  <si>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</si>
  <si>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</si>
  <si>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</si>
  <si>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</si>
  <si>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</si>
  <si>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</si>
  <si>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</si>
  <si>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</si>
  <si>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</si>
  <si>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</si>
  <si>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</si>
  <si>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</si>
  <si>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</si>
  <si>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</si>
  <si>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</si>
  <si>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</si>
  <si>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</si>
  <si>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</si>
  <si>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</si>
  <si>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</si>
  <si>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</si>
  <si>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</si>
  <si>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</si>
  <si>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</si>
  <si>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</si>
  <si>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</si>
  <si>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</si>
  <si>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</si>
  <si>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</si>
  <si>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</si>
  <si>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</si>
  <si>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</si>
  <si>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</si>
  <si>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</si>
  <si>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</si>
  <si>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</si>
  <si>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</si>
  <si>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</si>
  <si>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</si>
  <si>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</si>
  <si>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</si>
  <si>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</si>
  <si>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</si>
  <si>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</si>
  <si>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</si>
  <si>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</si>
  <si>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</si>
  <si>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</si>
  <si>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</si>
  <si>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</si>
  <si>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</si>
  <si>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</si>
  <si>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</si>
  <si>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</si>
  <si>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</si>
  <si>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</si>
  <si>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</si>
  <si>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</si>
  <si>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</si>
  <si>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</si>
  <si>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</si>
  <si>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</si>
  <si>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</si>
  <si>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</si>
  <si>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</si>
  <si>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</si>
  <si>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</si>
  <si>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</si>
  <si>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</si>
  <si>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</si>
  <si>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</si>
  <si>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</si>
  <si>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</si>
  <si>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</si>
  <si>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</si>
  <si>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</si>
  <si>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</si>
  <si>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</si>
  <si>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</si>
  <si>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</si>
  <si>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</si>
  <si>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</si>
  <si>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</si>
  <si>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</si>
  <si>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</si>
  <si>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</si>
  <si>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</si>
  <si>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</si>
  <si>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</si>
  <si>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</si>
  <si>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</si>
  <si>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</si>
  <si>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</si>
  <si>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</si>
  <si>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</si>
  <si>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</si>
  <si>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</si>
  <si>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</si>
  <si>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</si>
  <si>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</si>
  <si>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</si>
  <si>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</si>
  <si>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</si>
  <si>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</si>
  <si>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</si>
  <si>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</si>
  <si>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</si>
  <si>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</si>
  <si>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</si>
  <si>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</si>
  <si>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</si>
  <si>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</si>
  <si>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</si>
  <si>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</si>
  <si>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</si>
  <si>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</si>
  <si>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</si>
  <si>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</si>
  <si>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</si>
  <si>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</si>
  <si>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</si>
  <si>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</si>
  <si>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</si>
  <si>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</si>
  <si>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</si>
  <si>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</si>
  <si>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</si>
  <si>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</si>
  <si>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</si>
  <si>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</si>
  <si>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</si>
  <si>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</si>
  <si>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</si>
  <si>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</si>
  <si>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</si>
  <si>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</si>
  <si>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</si>
  <si>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</si>
  <si>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</si>
  <si>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</si>
  <si>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</si>
  <si>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</si>
  <si>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</si>
  <si>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</si>
  <si>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</si>
  <si>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</si>
  <si>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</si>
  <si>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</si>
  <si>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</si>
  <si>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</si>
  <si>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</si>
  <si>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</si>
  <si>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</si>
  <si>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</si>
  <si>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</si>
  <si>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</si>
  <si>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</si>
  <si>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</si>
  <si>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</si>
  <si>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</si>
  <si>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</si>
  <si>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</si>
  <si>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</si>
  <si>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</si>
  <si>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</si>
  <si>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</si>
  <si>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</si>
  <si>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</si>
  <si>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</si>
  <si>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</si>
  <si>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</si>
  <si>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</si>
  <si>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</si>
  <si>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</si>
  <si>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</si>
  <si>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</si>
  <si>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</si>
  <si>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</si>
  <si>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</si>
  <si>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</si>
  <si>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</si>
  <si>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</si>
  <si>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</si>
  <si>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</si>
  <si>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</si>
  <si>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</si>
  <si>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</si>
  <si>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</si>
  <si>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</si>
  <si>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</si>
  <si>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</si>
  <si>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</si>
  <si>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</si>
  <si>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</si>
  <si>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</si>
  <si>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</si>
  <si>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</si>
  <si>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</si>
  <si>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</si>
  <si>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</si>
  <si>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</si>
  <si>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</si>
  <si>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</si>
  <si>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</si>
  <si>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</si>
  <si>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</si>
  <si>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</si>
  <si>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</si>
  <si>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</si>
  <si>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</si>
  <si>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</si>
  <si>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</si>
  <si>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</si>
  <si>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</si>
  <si>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</si>
  <si>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</si>
  <si>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</si>
  <si>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</si>
  <si>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</si>
  <si>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</si>
  <si>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</si>
  <si>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</si>
  <si>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</si>
  <si>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</si>
  <si>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</si>
  <si>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</si>
  <si>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</si>
  <si>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</si>
  <si>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</si>
  <si>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</si>
  <si>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</si>
  <si>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</si>
  <si>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</si>
  <si>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</si>
  <si>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</si>
  <si>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</si>
  <si>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</si>
  <si>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</si>
  <si>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</si>
  <si>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</si>
  <si>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</si>
  <si>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</si>
  <si>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</si>
  <si>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</si>
  <si>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</si>
  <si>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</si>
  <si>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</si>
  <si>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</si>
  <si>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</si>
  <si>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</si>
  <si>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</si>
  <si>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</si>
  <si>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</si>
  <si>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</si>
  <si>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</si>
  <si>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</si>
  <si>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</si>
  <si>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</si>
  <si>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</si>
  <si>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</si>
  <si>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</si>
  <si>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</si>
  <si>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</si>
  <si>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</si>
  <si>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</si>
  <si>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</si>
  <si>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</si>
  <si>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</si>
  <si>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</si>
  <si>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</si>
  <si>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</si>
  <si>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</si>
  <si>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</si>
  <si>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</si>
  <si>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</si>
  <si>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</si>
  <si>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</si>
  <si>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</si>
  <si>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</si>
  <si>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</si>
  <si>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</si>
  <si>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</si>
  <si>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</si>
  <si>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</si>
  <si>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</si>
  <si>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</si>
  <si>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</si>
  <si>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</si>
  <si>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</si>
  <si>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</si>
  <si>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</si>
  <si>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</si>
  <si>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</si>
  <si>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</si>
  <si>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</si>
  <si>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</si>
  <si>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</si>
  <si>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</si>
  <si>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</si>
  <si>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</si>
  <si>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</si>
  <si>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</si>
  <si>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</si>
  <si>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</si>
  <si>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</si>
  <si>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</si>
  <si>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</si>
  <si>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</si>
  <si>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</si>
  <si>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</si>
  <si>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</si>
  <si>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</si>
  <si>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</si>
  <si>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</si>
  <si>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</si>
  <si>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</si>
  <si>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</si>
  <si>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</si>
  <si>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</si>
  <si>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</si>
  <si>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</si>
  <si>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</si>
  <si>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</si>
  <si>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</si>
  <si>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</si>
  <si>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</si>
  <si>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</si>
  <si>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</si>
  <si>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</si>
  <si>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</si>
  <si>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</si>
  <si>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</si>
  <si>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</si>
  <si>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</si>
  <si>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</si>
  <si>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</si>
  <si>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</si>
  <si>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</si>
  <si>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</si>
  <si>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</si>
  <si>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</si>
  <si>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</si>
  <si>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</si>
  <si>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</si>
  <si>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</si>
  <si>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</si>
  <si>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</si>
  <si>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</si>
  <si>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</si>
  <si>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</si>
  <si>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</si>
  <si>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</si>
  <si>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</si>
  <si>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</si>
  <si>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</si>
  <si>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</si>
  <si>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</si>
  <si>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</si>
  <si>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</si>
  <si>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</si>
  <si>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</si>
  <si>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</si>
  <si>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</si>
  <si>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</si>
  <si>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</si>
  <si>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</si>
  <si>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</si>
  <si>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</si>
  <si>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</si>
  <si>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</si>
  <si>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</si>
  <si>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</si>
  <si>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</si>
  <si>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</si>
  <si>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</si>
  <si>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</si>
  <si>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</si>
  <si>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</si>
  <si>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</si>
  <si>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</si>
  <si>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</si>
  <si>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</si>
  <si>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</si>
  <si>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</si>
  <si>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</si>
  <si>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</si>
  <si>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</si>
  <si>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</si>
  <si>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</si>
  <si>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</si>
  <si>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</si>
  <si>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</si>
  <si>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</si>
  <si>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</si>
  <si>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</si>
  <si>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</si>
  <si>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</si>
  <si>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</si>
  <si>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</si>
  <si>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</si>
  <si>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</si>
  <si>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</si>
  <si>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</si>
  <si>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</si>
  <si>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</si>
  <si>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</si>
  <si>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</si>
  <si>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</si>
  <si>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</si>
  <si>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</si>
  <si>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</si>
  <si>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</si>
  <si>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</si>
  <si>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</si>
  <si>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</si>
  <si>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</si>
  <si>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</si>
  <si>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</si>
  <si>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</si>
  <si>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</si>
  <si>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</si>
  <si>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</si>
  <si>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</si>
  <si>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</si>
  <si>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</si>
  <si>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</si>
  <si>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</si>
  <si>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</si>
  <si>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</si>
  <si>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</si>
  <si>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</si>
  <si>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</si>
  <si>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</si>
  <si>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</si>
  <si>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</si>
  <si>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</si>
  <si>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</si>
  <si>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</si>
  <si>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</si>
  <si>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</si>
  <si>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</si>
  <si>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</si>
  <si>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</si>
  <si>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</si>
  <si>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</si>
  <si>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</si>
  <si>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</si>
  <si>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</si>
  <si>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</si>
  <si>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</si>
  <si>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</si>
  <si>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</si>
  <si>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</si>
  <si>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</si>
  <si>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</si>
  <si>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</si>
  <si>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</si>
  <si>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</si>
  <si>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</si>
  <si>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</si>
  <si>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</si>
  <si>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</si>
  <si>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</si>
  <si>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</si>
  <si>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</si>
  <si>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</si>
  <si>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</si>
  <si>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</si>
  <si>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</si>
  <si>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</si>
  <si>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</si>
  <si>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</si>
  <si>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</si>
  <si>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</si>
  <si>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</si>
  <si>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</si>
  <si>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</si>
  <si>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</si>
  <si>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</si>
  <si>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</si>
  <si>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</si>
  <si>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</si>
  <si>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</si>
  <si>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</si>
  <si>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</si>
  <si>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</si>
  <si>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</si>
  <si>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</si>
  <si>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</si>
  <si>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</si>
  <si>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</si>
  <si>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</si>
  <si>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</si>
  <si>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</si>
  <si>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</si>
  <si>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</si>
  <si>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</si>
  <si>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</si>
  <si>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</si>
  <si>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</si>
  <si>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</si>
  <si>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</si>
  <si>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</si>
  <si>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</si>
  <si>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</si>
  <si>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</si>
  <si>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</si>
  <si>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</si>
  <si>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</si>
  <si>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</si>
  <si>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</si>
  <si>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</si>
  <si>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</si>
  <si>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</si>
  <si>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</si>
  <si>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</si>
  <si>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</si>
  <si>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</si>
  <si>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</si>
  <si>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</si>
  <si>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</si>
  <si>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</si>
  <si>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</si>
  <si>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</si>
  <si>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</si>
  <si>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</si>
  <si>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</si>
  <si>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</si>
  <si>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</si>
  <si>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</si>
  <si>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</si>
  <si>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</si>
  <si>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</si>
  <si>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</si>
  <si>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</si>
  <si>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</si>
  <si>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</si>
  <si>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</si>
  <si>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</si>
  <si>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</si>
  <si>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</si>
  <si>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</si>
  <si>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</si>
  <si>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</si>
  <si>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</si>
  <si>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</si>
  <si>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</si>
  <si>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</si>
  <si>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</si>
  <si>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</si>
  <si>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</si>
  <si>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</si>
  <si>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</si>
  <si>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</si>
  <si>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</si>
  <si>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</si>
  <si>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</si>
  <si>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</si>
  <si>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</si>
  <si>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</si>
  <si>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</si>
  <si>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</si>
  <si>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</si>
  <si>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</si>
  <si>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</si>
  <si>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</si>
  <si>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</si>
  <si>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</si>
  <si>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</si>
  <si>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</si>
  <si>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</si>
  <si>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</si>
  <si>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</si>
  <si>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</si>
  <si>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</si>
  <si>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</si>
  <si>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</si>
  <si>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</si>
  <si>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</si>
  <si>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</si>
  <si>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</si>
  <si>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</si>
  <si>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</si>
  <si>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</si>
  <si>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</si>
  <si>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</si>
  <si>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</si>
  <si>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</si>
  <si>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</si>
  <si>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</si>
  <si>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</si>
  <si>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</si>
  <si>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</si>
  <si>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</si>
  <si>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</si>
  <si>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</si>
  <si>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</si>
  <si>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</si>
  <si>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</si>
  <si>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</si>
  <si>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</si>
  <si>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</si>
  <si>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</si>
  <si>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</si>
  <si>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</si>
  <si>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</si>
  <si>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</si>
  <si>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</si>
  <si>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</si>
  <si>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</si>
  <si>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</si>
  <si>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</si>
  <si>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</si>
  <si>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</si>
  <si>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</si>
  <si>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</si>
  <si>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</si>
  <si>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</si>
  <si>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</si>
  <si>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</si>
  <si>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</si>
  <si>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</si>
  <si>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</si>
  <si>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</si>
  <si>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</si>
  <si>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</si>
  <si>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</si>
  <si>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</si>
  <si>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</si>
  <si>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</si>
  <si>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</si>
  <si>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</si>
  <si>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</si>
  <si>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</si>
  <si>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</si>
  <si>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</si>
  <si>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</si>
  <si>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</si>
  <si>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</si>
  <si>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</si>
  <si>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</si>
  <si>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</si>
  <si>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</si>
  <si>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</si>
  <si>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</si>
  <si>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</si>
  <si>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</si>
  <si>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</si>
  <si>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</si>
  <si>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</si>
  <si>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</si>
  <si>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</si>
  <si>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</si>
  <si>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</si>
  <si>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</si>
  <si>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</si>
  <si>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</si>
  <si>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</si>
  <si>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</si>
  <si>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</si>
  <si>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</si>
  <si>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</si>
  <si>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</si>
  <si>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</si>
  <si>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</si>
  <si>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</si>
  <si>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</si>
  <si>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</si>
  <si>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</si>
  <si>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</si>
  <si>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</si>
  <si>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</si>
  <si>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</si>
  <si>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</si>
  <si>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</si>
  <si>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</si>
  <si>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</si>
  <si>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</si>
  <si>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</si>
  <si>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</si>
  <si>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</si>
  <si>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</si>
  <si>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</si>
  <si>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</si>
  <si>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</si>
  <si>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</si>
  <si>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</si>
  <si>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</si>
  <si>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</si>
  <si>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</si>
  <si>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</si>
  <si>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</si>
  <si>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</si>
  <si>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</si>
  <si>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</si>
  <si>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</si>
  <si>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</si>
  <si>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</si>
  <si>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</si>
  <si>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</si>
  <si>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</si>
  <si>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</si>
  <si>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</si>
  <si>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</si>
  <si>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</si>
  <si>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</si>
  <si>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</si>
  <si>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</si>
  <si>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</si>
  <si>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</si>
  <si>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</si>
  <si>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</si>
  <si>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</si>
  <si>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</si>
  <si>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</si>
  <si>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</si>
  <si>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</si>
  <si>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</si>
  <si>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</si>
  <si>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</si>
  <si>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</si>
  <si>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</si>
  <si>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</si>
  <si>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</si>
  <si>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</si>
  <si>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</si>
  <si>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</si>
  <si>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</si>
  <si>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</si>
  <si>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</si>
  <si>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</si>
  <si>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</si>
  <si>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</si>
  <si>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</si>
  <si>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</si>
  <si>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</si>
  <si>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</si>
  <si>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</si>
  <si>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</si>
  <si>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</si>
  <si>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</si>
  <si>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</si>
  <si>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</si>
  <si>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</si>
  <si>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</si>
  <si>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</si>
  <si>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</si>
  <si>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</si>
  <si>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</si>
  <si>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</si>
  <si>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</si>
  <si>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</si>
  <si>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</si>
  <si>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</si>
  <si>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</si>
  <si>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</si>
  <si>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</si>
  <si>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</si>
  <si>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</si>
  <si>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</si>
  <si>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</si>
  <si>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</si>
  <si>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</si>
  <si>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</si>
  <si>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</si>
  <si>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</si>
  <si>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</si>
  <si>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</si>
  <si>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</si>
  <si>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</si>
  <si>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</si>
  <si>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</si>
  <si>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</si>
  <si>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</si>
  <si>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</si>
  <si>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</si>
  <si>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</si>
  <si>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</si>
  <si>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</si>
  <si>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</si>
  <si>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</si>
  <si>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</si>
  <si>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</si>
  <si>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</si>
  <si>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</si>
  <si>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</si>
  <si>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</si>
  <si>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</si>
  <si>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</si>
  <si>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</si>
  <si>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</si>
  <si>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</si>
  <si>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</si>
  <si>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</si>
  <si>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</si>
  <si>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</si>
  <si>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</si>
  <si>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</si>
  <si>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</si>
  <si>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</si>
  <si>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</si>
  <si>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</si>
  <si>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</si>
  <si>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</si>
  <si>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</si>
  <si>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</si>
  <si>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</si>
  <si>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</si>
  <si>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</si>
  <si>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</si>
  <si>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</si>
  <si>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</si>
  <si>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</si>
  <si>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</si>
  <si>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</si>
  <si>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</si>
  <si>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</si>
  <si>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</si>
  <si>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</si>
  <si>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</si>
  <si>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</si>
  <si>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</si>
  <si>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</si>
  <si>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</si>
  <si>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</si>
  <si>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</si>
  <si>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</si>
  <si>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</si>
  <si>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</si>
  <si>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</si>
  <si>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</si>
  <si>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</si>
  <si>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</si>
  <si>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</si>
  <si>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</si>
  <si>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</si>
  <si>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</si>
  <si>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</si>
  <si>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</si>
  <si>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</si>
  <si>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</si>
  <si>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</si>
  <si>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</si>
  <si>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</si>
  <si>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</si>
  <si>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</si>
  <si>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</si>
  <si>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</si>
  <si>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</si>
  <si>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</si>
  <si>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</si>
  <si>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</si>
  <si>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</si>
  <si>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</si>
  <si>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</si>
  <si>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</si>
  <si>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</si>
  <si>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</si>
  <si>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</si>
  <si>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</si>
  <si>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</si>
  <si>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</si>
  <si>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</si>
  <si>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</si>
  <si>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</si>
  <si>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</si>
  <si>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</si>
  <si>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</si>
  <si>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</si>
  <si>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</si>
  <si>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</si>
  <si>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</si>
  <si>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</si>
  <si>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</si>
  <si>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</si>
  <si>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</si>
  <si>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</si>
  <si>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</si>
  <si>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</si>
  <si>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</si>
  <si>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</si>
  <si>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</si>
  <si>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</si>
  <si>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</si>
  <si>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</si>
  <si>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</si>
  <si>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</si>
  <si>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</si>
  <si>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</si>
  <si>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</si>
  <si>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</si>
  <si>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</si>
  <si>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</si>
  <si>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</si>
  <si>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</si>
  <si>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</si>
  <si>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</si>
  <si>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</si>
  <si>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</si>
  <si>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</si>
  <si>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</si>
  <si>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</si>
  <si>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</si>
  <si>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</si>
  <si>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</si>
  <si>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</si>
  <si>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</si>
  <si>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</si>
  <si>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</si>
  <si>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</si>
  <si>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</si>
  <si>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</si>
  <si>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</si>
  <si>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</si>
  <si>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</si>
  <si>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</si>
  <si>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</si>
  <si>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</si>
  <si>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</si>
  <si>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</si>
  <si>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</si>
  <si>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</si>
  <si>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</si>
  <si>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</si>
  <si>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</si>
  <si>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</si>
  <si>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</si>
  <si>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</si>
  <si>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</si>
  <si>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</si>
  <si>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</si>
  <si>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</si>
  <si>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</si>
  <si>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</si>
  <si>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</si>
  <si>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</si>
  <si>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</si>
  <si>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</si>
  <si>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</si>
  <si>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</si>
  <si>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</si>
  <si>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</si>
  <si>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</si>
  <si>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</si>
  <si>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</si>
  <si>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</si>
  <si>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</si>
  <si>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</si>
  <si>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</si>
  <si>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</si>
  <si>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</si>
  <si>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</si>
  <si>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</si>
  <si>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</si>
  <si>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</si>
  <si>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</si>
  <si>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</si>
  <si>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</si>
  <si>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</si>
  <si>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</si>
  <si>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</si>
  <si>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</si>
  <si>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</si>
  <si>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</si>
  <si>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</si>
  <si>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</si>
  <si>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</si>
  <si>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</si>
  <si>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</si>
  <si>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</si>
  <si>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</si>
  <si>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</si>
  <si>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</si>
  <si>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</si>
  <si>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</si>
  <si>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</si>
  <si>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</si>
  <si>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</si>
  <si>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</si>
  <si>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</si>
  <si>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</si>
  <si>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</si>
  <si>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</si>
  <si>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</si>
  <si>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</si>
  <si>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</si>
  <si>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</si>
  <si>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</si>
  <si>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</si>
  <si>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</si>
  <si>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</si>
  <si>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</si>
  <si>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</si>
  <si>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</si>
  <si>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</si>
  <si>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</si>
  <si>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</si>
  <si>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</si>
  <si>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</si>
  <si>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</si>
  <si>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</si>
  <si>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</si>
  <si>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</si>
  <si>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</si>
  <si>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</si>
  <si>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</si>
  <si>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</si>
  <si>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</si>
  <si>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</si>
  <si>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</si>
  <si>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</si>
  <si>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</si>
  <si>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</si>
  <si>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</si>
  <si>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</si>
  <si>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</si>
  <si>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</si>
  <si>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</si>
  <si>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</si>
  <si>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</si>
  <si>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</si>
  <si>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</si>
  <si>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</si>
  <si>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</si>
  <si>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</si>
  <si>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</si>
  <si>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</si>
  <si>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</si>
  <si>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</si>
  <si>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</si>
  <si>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</si>
  <si>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</si>
  <si>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</si>
  <si>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</si>
  <si>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</si>
  <si>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</si>
  <si>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</si>
  <si>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</si>
  <si>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</si>
  <si>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</si>
  <si>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</si>
  <si>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</si>
  <si>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</si>
  <si>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</si>
  <si>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</si>
  <si>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</si>
  <si>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</si>
  <si>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</si>
  <si>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</si>
  <si>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</si>
  <si>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</si>
  <si>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</si>
  <si>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</si>
  <si>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</si>
  <si>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</si>
  <si>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</si>
  <si>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</si>
  <si>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</si>
  <si>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</si>
  <si>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</si>
  <si>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</si>
  <si>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</si>
  <si>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</si>
  <si>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</si>
  <si>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</si>
  <si>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</si>
  <si>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</si>
  <si>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</si>
  <si>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</si>
  <si>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</si>
  <si>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</si>
  <si>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</si>
  <si>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</si>
  <si>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</si>
  <si>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</si>
  <si>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</si>
  <si>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</si>
  <si>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</si>
  <si>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</si>
  <si>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</si>
  <si>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</si>
  <si>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</si>
  <si>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</si>
  <si>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</si>
  <si>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</si>
  <si>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</si>
  <si>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</si>
  <si>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</si>
  <si>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</si>
  <si>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</si>
  <si>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</si>
  <si>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</si>
  <si>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</si>
  <si>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</si>
  <si>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</si>
  <si>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</si>
  <si>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</si>
  <si>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</si>
  <si>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</si>
  <si>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</si>
  <si>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</si>
  <si>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</si>
  <si>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</si>
  <si>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</si>
  <si>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</si>
  <si>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</si>
  <si>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</si>
  <si>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</si>
  <si>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</si>
  <si>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</si>
  <si>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</si>
  <si>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</si>
  <si>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</si>
  <si>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</si>
  <si>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</si>
  <si>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</si>
  <si>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</si>
  <si>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</si>
  <si>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</si>
  <si>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</si>
  <si>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</si>
  <si>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</si>
  <si>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</si>
  <si>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</si>
  <si>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</si>
  <si>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</si>
  <si>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</si>
  <si>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</si>
  <si>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</si>
  <si>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</si>
  <si>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</si>
  <si>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</si>
  <si>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</si>
  <si>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</si>
  <si>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</si>
  <si>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</si>
  <si>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</si>
  <si>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</si>
  <si>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</si>
  <si>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</si>
  <si>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</si>
  <si>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</si>
  <si>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</si>
  <si>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</si>
  <si>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</si>
  <si>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</si>
  <si>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</si>
  <si>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</si>
  <si>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</si>
  <si>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</si>
  <si>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</si>
  <si>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</si>
  <si>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</si>
  <si>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</si>
  <si>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</si>
  <si>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</si>
  <si>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</si>
  <si>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</si>
  <si>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</si>
  <si>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</si>
  <si>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</si>
  <si>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</si>
  <si>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</si>
  <si>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</si>
  <si>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</si>
  <si>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</si>
  <si>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</si>
  <si>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</si>
  <si>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</si>
  <si>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</si>
  <si>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</si>
  <si>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</si>
  <si>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</si>
  <si>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</si>
  <si>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</si>
  <si>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</si>
  <si>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</si>
  <si>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</si>
  <si>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</si>
  <si>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</si>
  <si>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</si>
  <si>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</si>
  <si>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</si>
  <si>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</si>
  <si>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</si>
  <si>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</si>
  <si>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</si>
  <si>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</si>
  <si>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</si>
  <si>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</si>
  <si>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</si>
  <si>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</si>
  <si>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</si>
  <si>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</si>
  <si>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</si>
  <si>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</si>
  <si>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</si>
  <si>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</si>
  <si>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</si>
  <si>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</si>
  <si>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</si>
  <si>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</si>
  <si>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</si>
  <si>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</si>
  <si>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</si>
  <si>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</si>
  <si>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</si>
  <si>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</si>
  <si>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</si>
  <si>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</si>
  <si>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</si>
  <si>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</si>
  <si>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</si>
  <si>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</si>
  <si>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</si>
  <si>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</si>
  <si>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</si>
  <si>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</si>
  <si>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</si>
  <si>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</si>
  <si>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</si>
  <si>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</si>
  <si>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</si>
  <si>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</si>
  <si>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</si>
  <si>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</si>
  <si>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</si>
  <si>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</si>
  <si>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</si>
  <si>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</si>
  <si>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</si>
  <si>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</si>
  <si>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</si>
  <si>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</si>
  <si>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</si>
  <si>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</si>
  <si>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</si>
  <si>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</si>
  <si>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</si>
  <si>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</si>
  <si>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</si>
  <si>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</si>
  <si>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</si>
  <si>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</si>
  <si>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</si>
  <si>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</si>
  <si>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</si>
  <si>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</si>
  <si>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</si>
  <si>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</si>
  <si>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</si>
  <si>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</si>
  <si>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</si>
  <si>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</si>
  <si>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</si>
  <si>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</si>
  <si>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</si>
  <si>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</si>
  <si>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</si>
  <si>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</si>
  <si>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</si>
  <si>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</si>
  <si>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</si>
  <si>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</si>
  <si>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</si>
  <si>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</si>
  <si>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</si>
  <si>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</si>
  <si>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</si>
  <si>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</si>
  <si>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</si>
  <si>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</si>
  <si>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</si>
  <si>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</si>
  <si>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</si>
  <si>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</si>
  <si>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</si>
  <si>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</si>
  <si>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</si>
  <si>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</si>
  <si>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</si>
  <si>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</si>
  <si>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</si>
  <si>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</si>
  <si>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</si>
  <si>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</si>
  <si>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</si>
  <si>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</si>
  <si>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</si>
  <si>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</si>
  <si>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</si>
  <si>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</si>
  <si>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</si>
  <si>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</si>
  <si>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</si>
  <si>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</si>
  <si>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</si>
  <si>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</si>
  <si>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</si>
  <si>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</si>
  <si>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</si>
  <si>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</si>
  <si>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</si>
  <si>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</si>
  <si>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</si>
  <si>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</si>
  <si>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</si>
  <si>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</si>
  <si>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</si>
  <si>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</si>
  <si>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</si>
  <si>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</si>
  <si>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</si>
  <si>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</si>
  <si>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</si>
  <si>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</si>
  <si>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</si>
  <si>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</si>
  <si>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</si>
  <si>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</si>
  <si>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</si>
  <si>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</si>
  <si>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</si>
  <si>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</si>
  <si>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</si>
  <si>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</si>
  <si>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</si>
  <si>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</si>
  <si>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</si>
  <si>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</si>
  <si>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</si>
  <si>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</si>
  <si>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</si>
  <si>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</si>
  <si>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</si>
  <si>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</si>
  <si>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</si>
  <si>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</si>
  <si>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</si>
  <si>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</si>
  <si>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</si>
  <si>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</si>
  <si>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</si>
  <si>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</si>
  <si>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</si>
  <si>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</si>
  <si>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</si>
  <si>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</si>
  <si>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</si>
  <si>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</si>
  <si>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</si>
  <si>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</si>
  <si>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</si>
  <si>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</si>
  <si>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</si>
  <si>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</si>
  <si>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</si>
  <si>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</si>
  <si>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</si>
  <si>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</si>
  <si>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</si>
  <si>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</si>
  <si>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</si>
  <si>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</si>
  <si>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</si>
  <si>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</si>
  <si>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</si>
  <si>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</si>
  <si>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</si>
  <si>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</si>
  <si>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</si>
  <si>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</si>
  <si>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</si>
  <si>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</si>
  <si>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</si>
  <si>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</si>
  <si>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</si>
  <si>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</si>
  <si>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</si>
  <si>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</si>
  <si>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</si>
  <si>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</si>
  <si>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</si>
  <si>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</si>
  <si>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</si>
  <si>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</si>
  <si>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</si>
  <si>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</si>
  <si>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</si>
  <si>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</si>
  <si>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</si>
  <si>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</si>
  <si>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</si>
  <si>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</si>
  <si>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</si>
  <si>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</si>
  <si>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</si>
  <si>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</si>
  <si>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</si>
  <si>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</si>
  <si>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</si>
  <si>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</si>
  <si>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</si>
  <si>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</si>
  <si>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</si>
  <si>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</si>
  <si>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</si>
  <si>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</si>
  <si>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</si>
  <si>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</si>
  <si>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</si>
  <si>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</si>
  <si>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</si>
  <si>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</si>
  <si>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</si>
  <si>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</si>
  <si>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</si>
  <si>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</si>
  <si>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</si>
  <si>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</si>
  <si>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</si>
  <si>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</si>
  <si>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</si>
  <si>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</si>
  <si>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</si>
  <si>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</si>
  <si>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</si>
  <si>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</si>
  <si>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</si>
  <si>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</si>
  <si>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</si>
  <si>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</si>
  <si>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</si>
  <si>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</si>
  <si>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</si>
  <si>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</si>
  <si>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</si>
  <si>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</si>
  <si>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</si>
  <si>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</si>
  <si>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</si>
  <si>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</si>
  <si>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</si>
  <si>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</si>
  <si>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</si>
  <si>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</si>
  <si>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</si>
  <si>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</si>
  <si>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</si>
  <si>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</si>
  <si>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</si>
  <si>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</si>
  <si>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</si>
  <si>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</si>
  <si>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</si>
  <si>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</si>
  <si>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</si>
  <si>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</si>
  <si>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</si>
  <si>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</si>
  <si>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</si>
  <si>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</si>
  <si>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</si>
  <si>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</si>
  <si>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</si>
  <si>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</si>
  <si>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</si>
  <si>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</si>
  <si>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</si>
  <si>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</si>
  <si>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</si>
  <si>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</si>
  <si>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</si>
  <si>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</si>
  <si>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</si>
  <si>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</si>
  <si>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</si>
  <si>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</si>
  <si>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</si>
  <si>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</si>
  <si>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</si>
  <si>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</si>
  <si>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</si>
  <si>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</si>
  <si>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</si>
  <si>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</si>
  <si>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</si>
  <si>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</si>
  <si>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</si>
  <si>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</si>
  <si>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</si>
  <si>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</si>
  <si>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</si>
  <si>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</si>
  <si>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</si>
  <si>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</si>
  <si>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</si>
  <si>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</si>
  <si>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</si>
  <si>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</si>
  <si>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</si>
  <si>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</si>
  <si>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</si>
  <si>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</si>
  <si>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</si>
  <si>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</si>
  <si>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</si>
  <si>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</si>
  <si>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</si>
  <si>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</si>
  <si>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</si>
  <si>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</si>
  <si>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</si>
  <si>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</si>
  <si>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</si>
  <si>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</si>
  <si>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</si>
  <si>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</si>
  <si>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</si>
  <si>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</si>
  <si>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</si>
  <si>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</si>
  <si>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</si>
  <si>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</si>
  <si>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</si>
  <si>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</si>
  <si>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</si>
  <si>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</si>
  <si>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</si>
  <si>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</si>
  <si>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</si>
  <si>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</si>
  <si>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</si>
  <si>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</si>
  <si>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</si>
  <si>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</si>
  <si>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</si>
  <si>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</si>
  <si>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</si>
  <si>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</si>
  <si>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</si>
  <si>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</si>
  <si>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</si>
  <si>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</si>
  <si>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</si>
  <si>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</si>
  <si>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</si>
  <si>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</si>
  <si>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</si>
  <si>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</si>
  <si>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</si>
  <si>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</si>
  <si>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</si>
  <si>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</si>
  <si>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</si>
  <si>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</si>
  <si>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</si>
  <si>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</si>
  <si>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</si>
  <si>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</si>
  <si>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</si>
  <si>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</si>
  <si>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</si>
  <si>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</si>
  <si>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</si>
  <si>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</si>
  <si>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</si>
  <si>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</si>
  <si>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</si>
  <si>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</si>
  <si>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</si>
  <si>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</si>
  <si>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</si>
  <si>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</si>
  <si>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</si>
  <si>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</si>
  <si>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</si>
  <si>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</si>
  <si>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</si>
  <si>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</si>
  <si>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</si>
  <si>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</si>
  <si>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</si>
  <si>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</si>
  <si>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</si>
  <si>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</si>
  <si>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</si>
  <si>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</si>
  <si>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</si>
  <si>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</si>
  <si>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</si>
  <si>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</si>
  <si>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</si>
  <si>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</si>
  <si>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</si>
  <si>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</si>
  <si>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</si>
  <si>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</si>
  <si>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</si>
  <si>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</si>
  <si>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</si>
  <si>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</si>
  <si>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</si>
  <si>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</si>
  <si>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</si>
  <si>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</si>
  <si>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</si>
  <si>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</si>
  <si>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</si>
  <si>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</si>
  <si>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</si>
  <si>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</si>
  <si>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</si>
  <si>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</si>
  <si>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</si>
  <si>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</si>
  <si>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</si>
  <si>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</si>
  <si>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</si>
  <si>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</si>
  <si>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</si>
  <si>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</si>
  <si>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</si>
  <si>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</si>
  <si>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</si>
  <si>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</si>
  <si>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</si>
  <si>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</si>
  <si>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</si>
  <si>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</si>
  <si>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</si>
  <si>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</si>
  <si>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</si>
  <si>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</si>
  <si>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</si>
  <si>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</si>
  <si>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</si>
  <si>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</si>
  <si>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</si>
  <si>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</si>
  <si>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</si>
  <si>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</si>
  <si>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</si>
  <si>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</si>
  <si>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</si>
  <si>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</si>
  <si>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</si>
  <si>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</si>
  <si>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</si>
  <si>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</si>
  <si>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</si>
  <si>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</si>
  <si>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</si>
  <si>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</si>
  <si>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</si>
  <si>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</si>
  <si>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</si>
  <si>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</si>
  <si>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</si>
  <si>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</si>
  <si>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</si>
  <si>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</si>
  <si>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</si>
  <si>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</si>
  <si>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</si>
  <si>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</si>
  <si>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</si>
  <si>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</si>
  <si>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</si>
  <si>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</si>
  <si>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</si>
  <si>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</si>
  <si>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</si>
  <si>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</si>
  <si>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</si>
  <si>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</si>
  <si>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</si>
  <si>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</si>
  <si>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</si>
  <si>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</si>
  <si>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</si>
  <si>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</si>
  <si>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</si>
  <si>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</si>
  <si>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</si>
  <si>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</si>
  <si>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</si>
  <si>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</si>
  <si>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</si>
  <si>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</si>
  <si>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</si>
  <si>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</si>
  <si>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</si>
  <si>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</si>
  <si>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</si>
  <si>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</si>
  <si>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</si>
  <si>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</si>
  <si>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</si>
  <si>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</si>
  <si>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</si>
  <si>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</si>
  <si>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</si>
  <si>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</si>
  <si>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</si>
  <si>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</si>
  <si>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</si>
  <si>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</si>
  <si>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</si>
  <si>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</si>
  <si>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</si>
  <si>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</si>
  <si>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</si>
  <si>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</si>
  <si>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</si>
  <si>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</si>
  <si>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</si>
  <si>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</si>
  <si>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</si>
  <si>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</si>
  <si>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</si>
  <si>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</si>
  <si>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</si>
  <si>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</si>
  <si>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</si>
  <si>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</si>
  <si>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</si>
  <si>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</si>
  <si>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</si>
  <si>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</si>
  <si>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</si>
  <si>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</si>
  <si>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</si>
  <si>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</si>
  <si>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</si>
  <si>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</si>
  <si>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</si>
  <si>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</si>
  <si>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</si>
  <si>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</si>
  <si>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</si>
  <si>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</si>
  <si>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</si>
  <si>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</si>
  <si>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</si>
  <si>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</si>
  <si>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</si>
  <si>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</si>
  <si>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</si>
  <si>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</si>
  <si>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</si>
  <si>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</si>
  <si>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</si>
  <si>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</si>
  <si>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</si>
  <si>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</si>
  <si>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</si>
  <si>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</si>
  <si>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</si>
  <si>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</si>
  <si>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</si>
  <si>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</si>
  <si>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</si>
  <si>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</si>
  <si>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</si>
  <si>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</si>
  <si>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</si>
  <si>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</si>
  <si>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</si>
  <si>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</si>
  <si>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</si>
  <si>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</si>
  <si>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</si>
  <si>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</si>
  <si>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</si>
  <si>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</si>
  <si>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</si>
  <si>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</si>
  <si>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</si>
  <si>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</si>
  <si>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</si>
  <si>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</si>
  <si>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</si>
  <si>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</si>
  <si>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</si>
  <si>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</si>
  <si>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</si>
  <si>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</si>
  <si>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</si>
  <si>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</si>
  <si>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</si>
  <si>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</si>
  <si>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</si>
  <si>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</si>
  <si>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</si>
  <si>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</si>
  <si>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</si>
  <si>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</si>
  <si>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</si>
  <si>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</si>
  <si>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</si>
  <si>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</si>
  <si>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</si>
  <si>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</si>
  <si>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</si>
  <si>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</si>
  <si>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</si>
  <si>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</si>
  <si>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</si>
  <si>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</si>
  <si>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</si>
  <si>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</si>
  <si>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</si>
  <si>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</si>
  <si>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</si>
  <si>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</si>
  <si>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</si>
  <si>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</si>
  <si>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</si>
  <si>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</si>
  <si>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</si>
  <si>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</si>
  <si>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</si>
  <si>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</si>
  <si>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</si>
  <si>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</si>
  <si>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</si>
  <si>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</si>
  <si>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</si>
  <si>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</si>
  <si>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</si>
  <si>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</si>
  <si>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</si>
  <si>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</si>
  <si>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</si>
  <si>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</si>
  <si>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</si>
  <si>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</si>
  <si>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</si>
  <si>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</si>
  <si>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</si>
  <si>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</si>
  <si>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</si>
  <si>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</si>
  <si>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</si>
  <si>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</si>
  <si>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</si>
  <si>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</si>
  <si>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</si>
  <si>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</si>
  <si>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</si>
  <si>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</si>
  <si>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</si>
  <si>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</si>
  <si>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</si>
  <si>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</si>
  <si>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</si>
  <si>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</si>
  <si>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</si>
  <si>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</si>
  <si>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</si>
  <si>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</si>
  <si>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</si>
  <si>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</si>
  <si>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</si>
  <si>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</si>
  <si>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</si>
  <si>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</si>
  <si>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</si>
  <si>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</si>
  <si>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</si>
  <si>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</si>
  <si>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</si>
  <si>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</si>
  <si>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</si>
  <si>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</si>
  <si>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</si>
  <si>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</si>
  <si>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</si>
  <si>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</si>
  <si>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</si>
  <si>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</si>
  <si>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</si>
  <si>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</si>
  <si>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</si>
  <si>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</si>
  <si>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</si>
  <si>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</si>
  <si>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</si>
  <si>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</si>
  <si>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</si>
  <si>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</si>
  <si>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</si>
  <si>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</si>
  <si>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</si>
  <si>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</si>
  <si>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</si>
  <si>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</si>
  <si>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</si>
  <si>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</si>
  <si>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</si>
  <si>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</si>
  <si>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</si>
  <si>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</si>
  <si>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</si>
  <si>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</si>
  <si>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</si>
  <si>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</si>
  <si>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</si>
  <si>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</si>
  <si>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</si>
  <si>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</si>
  <si>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</si>
  <si>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</si>
  <si>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</si>
  <si>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</si>
  <si>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</si>
  <si>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</si>
  <si>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</si>
  <si>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</si>
  <si>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</si>
  <si>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</si>
  <si>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</si>
  <si>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</si>
  <si>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</si>
  <si>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</si>
  <si>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</si>
  <si>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</si>
  <si>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</si>
  <si>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</si>
  <si>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</si>
  <si>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</si>
  <si>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</si>
  <si>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</si>
  <si>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</si>
  <si>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</si>
  <si>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</si>
  <si>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</si>
  <si>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</si>
  <si>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</si>
  <si>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</si>
  <si>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</si>
  <si>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</si>
  <si>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</si>
  <si>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</si>
  <si>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</si>
  <si>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</si>
  <si>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</si>
  <si>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</si>
  <si>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</si>
  <si>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</si>
  <si>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</si>
  <si>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</si>
  <si>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</si>
  <si>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</si>
  <si>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</si>
  <si>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</si>
  <si>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</si>
  <si>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</si>
  <si>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</si>
  <si>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</si>
  <si>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</si>
  <si>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</si>
  <si>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</si>
  <si>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</si>
  <si>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</si>
  <si>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</si>
  <si>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</si>
  <si>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</si>
  <si>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</si>
  <si>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</si>
  <si>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</si>
  <si>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</si>
  <si>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</si>
  <si>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</si>
  <si>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</si>
  <si>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</si>
  <si>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</si>
  <si>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</si>
  <si>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</si>
  <si>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</si>
  <si>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</si>
  <si>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</si>
  <si>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</si>
  <si>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</si>
  <si>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</si>
  <si>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</si>
  <si>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</si>
  <si>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</si>
  <si>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</si>
  <si>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</si>
  <si>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</si>
  <si>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</si>
  <si>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</si>
  <si>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</si>
  <si>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</si>
  <si>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</si>
  <si>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</si>
  <si>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</si>
  <si>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</si>
  <si>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</si>
  <si>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</si>
  <si>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</si>
  <si>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</si>
  <si>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</si>
  <si>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</si>
  <si>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</si>
  <si>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</si>
  <si>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</si>
  <si>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</si>
  <si>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</si>
  <si>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</si>
  <si>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</si>
  <si>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</si>
  <si>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</si>
  <si>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</si>
  <si>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</si>
  <si>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</si>
  <si>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</si>
  <si>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</si>
  <si>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</si>
  <si>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</si>
  <si>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</si>
  <si>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</si>
  <si>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</si>
  <si>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</si>
  <si>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</si>
  <si>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</si>
  <si>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</si>
  <si>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</si>
  <si>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</si>
  <si>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</si>
  <si>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</si>
  <si>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</si>
  <si>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</si>
  <si>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</si>
  <si>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</si>
  <si>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</si>
  <si>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</si>
  <si>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</si>
  <si>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</si>
  <si>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</si>
  <si>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</si>
  <si>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</si>
  <si>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</si>
  <si>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</si>
  <si>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</si>
  <si>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</si>
  <si>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</si>
  <si>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</si>
  <si>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</si>
  <si>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</si>
  <si>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</si>
  <si>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</si>
  <si>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</si>
  <si>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</si>
  <si>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</si>
  <si>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</si>
  <si>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</si>
  <si>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</si>
  <si>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</si>
  <si>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</si>
  <si>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</si>
  <si>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</si>
  <si>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</si>
  <si>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</si>
  <si>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</si>
  <si>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</si>
  <si>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</si>
  <si>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</si>
  <si>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</si>
  <si>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</si>
  <si>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</si>
  <si>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</si>
  <si>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</si>
  <si>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</si>
  <si>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</si>
  <si>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</si>
  <si>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</si>
  <si>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</si>
  <si>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</si>
  <si>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</si>
  <si>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</si>
  <si>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</si>
  <si>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</si>
  <si>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</si>
  <si>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</si>
  <si>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</si>
  <si>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</si>
  <si>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</si>
  <si>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</si>
  <si>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</si>
  <si>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</si>
  <si>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</si>
  <si>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</si>
  <si>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</si>
  <si>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</si>
  <si>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</si>
  <si>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</si>
  <si>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</si>
  <si>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</si>
  <si>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</si>
  <si>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</si>
  <si>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</si>
  <si>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</si>
  <si>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</si>
  <si>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</si>
  <si>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</si>
  <si>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</si>
  <si>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</si>
  <si>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</si>
  <si>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</si>
  <si>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</si>
  <si>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</si>
  <si>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</si>
  <si>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</si>
  <si>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</si>
  <si>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</si>
  <si>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</si>
  <si>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</si>
  <si>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</si>
  <si>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</si>
  <si>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</si>
  <si>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</si>
  <si>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</si>
  <si>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</si>
  <si>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</si>
  <si>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</si>
  <si>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</si>
  <si>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</si>
  <si>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</si>
  <si>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</si>
  <si>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</si>
  <si>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</si>
  <si>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</si>
  <si>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</si>
  <si>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</si>
  <si>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</si>
  <si>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</si>
  <si>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</si>
  <si>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</si>
  <si>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</si>
  <si>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</si>
  <si>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</si>
  <si>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</si>
  <si>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</si>
  <si>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</si>
  <si>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</si>
  <si>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</si>
  <si>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</si>
  <si>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</si>
  <si>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</si>
  <si>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</si>
  <si>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</si>
  <si>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</si>
  <si>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</si>
  <si>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</si>
  <si>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</si>
  <si>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</si>
  <si>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</si>
  <si>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</si>
  <si>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</si>
  <si>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</si>
  <si>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</si>
  <si>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</si>
  <si>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</si>
  <si>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</si>
  <si>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</si>
  <si>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</si>
  <si>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</si>
  <si>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</si>
  <si>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</si>
  <si>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</si>
  <si>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</si>
  <si>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</si>
  <si>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</si>
  <si>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</si>
  <si>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</si>
  <si>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</si>
  <si>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</si>
  <si>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</si>
  <si>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</si>
  <si>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</si>
  <si>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</si>
  <si>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</si>
  <si>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</si>
  <si>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</si>
  <si>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</si>
  <si>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</si>
  <si>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</si>
  <si>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</si>
  <si>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</si>
  <si>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</si>
  <si>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</si>
  <si>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</si>
  <si>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</si>
  <si>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</si>
  <si>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</si>
  <si>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</si>
  <si>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</si>
  <si>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</si>
  <si>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</si>
  <si>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</si>
  <si>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</si>
  <si>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</si>
  <si>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</si>
  <si>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</si>
  <si>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</si>
  <si>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</si>
  <si>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</si>
  <si>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</si>
  <si>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</si>
  <si>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</si>
  <si>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</si>
  <si>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</si>
  <si>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</si>
  <si>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</si>
  <si>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</si>
  <si>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</si>
  <si>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</si>
  <si>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</si>
  <si>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</si>
  <si>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</si>
  <si>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</si>
  <si>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</si>
  <si>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</si>
  <si>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</si>
  <si>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</si>
  <si>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</si>
  <si>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</si>
  <si>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</si>
  <si>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</si>
  <si>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</si>
  <si>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</si>
  <si>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</si>
  <si>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</si>
  <si>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</si>
  <si>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</si>
  <si>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</si>
  <si>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</si>
  <si>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</si>
  <si>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</si>
  <si>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</si>
  <si>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</si>
  <si>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</si>
  <si>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</si>
  <si>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</si>
  <si>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</si>
  <si>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</si>
  <si>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</si>
  <si>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</si>
  <si>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</si>
  <si>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</si>
  <si>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</si>
  <si>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</si>
  <si>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</si>
  <si>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</si>
  <si>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</si>
  <si>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</si>
  <si>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</si>
  <si>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</si>
  <si>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</si>
  <si>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</si>
  <si>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</si>
  <si>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</si>
  <si>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</si>
  <si>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</si>
  <si>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</si>
  <si>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</si>
  <si>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</si>
  <si>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</si>
  <si>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</si>
  <si>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</si>
  <si>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</si>
  <si>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</si>
  <si>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</si>
  <si>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</si>
  <si>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</si>
  <si>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</si>
  <si>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</si>
  <si>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</si>
  <si>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</si>
  <si>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</si>
  <si>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</si>
  <si>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</si>
  <si>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</si>
  <si>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</si>
  <si>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</si>
  <si>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</si>
  <si>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</si>
  <si>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</si>
  <si>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</si>
  <si>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</si>
  <si>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</si>
  <si>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</si>
  <si>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</si>
  <si>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</si>
  <si>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</si>
  <si>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</si>
  <si>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</si>
  <si>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</si>
  <si>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</si>
  <si>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</si>
  <si>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</si>
  <si>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</si>
  <si>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</si>
  <si>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</si>
  <si>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</si>
  <si>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</si>
  <si>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</si>
  <si>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</si>
  <si>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</si>
  <si>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</si>
  <si>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</si>
  <si>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</si>
  <si>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</si>
  <si>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</si>
  <si>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</si>
  <si>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</si>
  <si>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</si>
  <si>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</si>
  <si>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</si>
  <si>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</si>
  <si>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</si>
  <si>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</si>
  <si>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</si>
  <si>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</si>
  <si>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</si>
  <si>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</si>
  <si>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</si>
  <si>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</si>
  <si>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</si>
  <si>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</si>
  <si>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</si>
  <si>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</si>
  <si>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</si>
  <si>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</si>
  <si>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</si>
  <si>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</si>
  <si>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</si>
  <si>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</si>
  <si>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</si>
  <si>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</si>
  <si>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</si>
  <si>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</si>
  <si>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</si>
  <si>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</si>
  <si>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</si>
  <si>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</si>
  <si>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</si>
  <si>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</si>
  <si>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</si>
  <si>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</si>
  <si>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</si>
  <si>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</si>
  <si>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</si>
  <si>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</si>
  <si>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</si>
  <si>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</si>
  <si>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</si>
  <si>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</si>
  <si>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</si>
  <si>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</si>
  <si>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</si>
  <si>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</si>
  <si>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</si>
  <si>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</si>
  <si>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</si>
  <si>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</si>
  <si>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</si>
  <si>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</si>
  <si>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</si>
  <si>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</si>
  <si>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</si>
  <si>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</si>
  <si>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</si>
  <si>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</si>
  <si>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</si>
  <si>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</si>
  <si>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</si>
  <si>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</si>
  <si>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</si>
  <si>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</si>
  <si>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</si>
  <si>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</si>
  <si>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</si>
  <si>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</si>
  <si>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</si>
  <si>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</si>
  <si>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</si>
  <si>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</si>
  <si>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</si>
  <si>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</si>
  <si>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</si>
  <si>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</si>
  <si>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</si>
  <si>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</si>
  <si>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</si>
  <si>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</si>
  <si>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</si>
  <si>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</si>
  <si>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</si>
  <si>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</si>
  <si>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</si>
  <si>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</si>
  <si>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</si>
  <si>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</si>
  <si>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</si>
  <si>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</si>
  <si>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</si>
  <si>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</si>
  <si>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</si>
  <si>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</si>
  <si>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</si>
  <si>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</si>
  <si>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</si>
  <si>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</si>
  <si>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</si>
  <si>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</si>
  <si>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</si>
  <si>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</si>
  <si>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</si>
  <si>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</si>
  <si>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</si>
  <si>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</si>
  <si>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</si>
  <si>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</si>
  <si>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</si>
  <si>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</si>
  <si>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</si>
  <si>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</si>
  <si>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</si>
  <si>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</si>
  <si>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</si>
  <si>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</si>
  <si>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</si>
  <si>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</si>
  <si>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</si>
  <si>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</si>
  <si>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</si>
  <si>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</si>
  <si>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</si>
  <si>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</si>
  <si>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</si>
  <si>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</si>
  <si>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</si>
  <si>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</si>
  <si>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</si>
  <si>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</si>
  <si>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</si>
  <si>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</si>
  <si>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</si>
  <si>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</si>
  <si>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</si>
  <si>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</si>
  <si>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</si>
  <si>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</si>
  <si>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</si>
  <si>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</si>
  <si>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</si>
  <si>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</si>
  <si>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</si>
  <si>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</si>
  <si>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</si>
  <si>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</si>
  <si>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</si>
  <si>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</si>
  <si>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</si>
  <si>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</si>
  <si>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</si>
  <si>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</si>
  <si>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</si>
  <si>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</si>
  <si>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</si>
  <si>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</si>
  <si>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</si>
  <si>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</si>
  <si>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</si>
  <si>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</si>
  <si>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</si>
  <si>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</si>
  <si>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</si>
  <si>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</si>
  <si>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</si>
  <si>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</si>
  <si>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</si>
  <si>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</si>
  <si>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</si>
  <si>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</si>
  <si>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</si>
  <si>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</si>
  <si>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</si>
  <si>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</si>
  <si>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</si>
  <si>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</si>
  <si>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</si>
  <si>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</si>
  <si>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</si>
  <si>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</si>
  <si>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</si>
  <si>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</si>
  <si>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</si>
  <si>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</si>
  <si>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</si>
  <si>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</si>
  <si>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</si>
  <si>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</si>
  <si>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</si>
  <si>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</si>
  <si>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</si>
  <si>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</si>
  <si>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</si>
  <si>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</si>
  <si>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</si>
  <si>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</si>
  <si>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</si>
  <si>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</si>
  <si>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</si>
  <si>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</si>
  <si>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</si>
  <si>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</si>
  <si>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</si>
  <si>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</si>
  <si>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</si>
  <si>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</si>
  <si>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</si>
  <si>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</si>
  <si>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</si>
  <si>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</si>
  <si>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</si>
  <si>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</si>
  <si>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</si>
  <si>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</si>
  <si>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</si>
  <si>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</si>
  <si>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</si>
  <si>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</si>
  <si>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</si>
  <si>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</si>
  <si>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</si>
  <si>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</si>
  <si>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</si>
  <si>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</si>
  <si>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</si>
  <si>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</si>
  <si>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</si>
  <si>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</si>
  <si>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</si>
  <si>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</si>
  <si>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</si>
  <si>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</si>
  <si>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</si>
  <si>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</si>
  <si>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</si>
  <si>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</si>
  <si>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</si>
  <si>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</si>
  <si>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</si>
  <si>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</si>
  <si>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</si>
  <si>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</si>
  <si>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</si>
  <si>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</si>
  <si>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</si>
  <si>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</si>
  <si>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</si>
  <si>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</si>
  <si>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</si>
  <si>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</si>
  <si>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</si>
  <si>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</si>
  <si>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</si>
  <si>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</si>
  <si>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</si>
  <si>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</si>
  <si>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</si>
  <si>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</si>
  <si>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</si>
  <si>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</si>
  <si>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</si>
  <si>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</si>
  <si>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</si>
  <si>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</si>
  <si>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</si>
  <si>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</si>
  <si>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</si>
  <si>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</si>
  <si>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</si>
  <si>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</si>
  <si>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</si>
  <si>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</si>
  <si>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</si>
  <si>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</si>
  <si>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</si>
  <si>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</si>
  <si>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</si>
  <si>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</si>
  <si>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</si>
  <si>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</si>
  <si>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</si>
  <si>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</si>
  <si>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</si>
  <si>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</si>
  <si>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</si>
  <si>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</si>
  <si>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</si>
  <si>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</si>
  <si>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</si>
  <si>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</si>
  <si>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</si>
  <si>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</si>
  <si>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</si>
  <si>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</si>
  <si>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</si>
  <si>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</si>
  <si>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</si>
  <si>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</si>
  <si>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</si>
  <si>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</si>
  <si>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</si>
  <si>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</si>
  <si>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</si>
  <si>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</si>
  <si>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</si>
  <si>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</si>
  <si>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</si>
  <si>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</si>
  <si>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</si>
  <si>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</si>
  <si>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</si>
  <si>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</si>
  <si>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</si>
  <si>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</si>
  <si>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</si>
  <si>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</si>
  <si>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</si>
  <si>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</si>
  <si>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</si>
  <si>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</si>
  <si>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</si>
  <si>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</si>
  <si>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</si>
  <si>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</si>
  <si>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</si>
  <si>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</si>
  <si>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</si>
  <si>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</si>
  <si>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</si>
  <si>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</si>
  <si>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</si>
  <si>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</si>
  <si>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</si>
  <si>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</si>
  <si>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</si>
  <si>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</si>
  <si>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</si>
  <si>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</si>
  <si>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</si>
  <si>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</si>
  <si>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</si>
  <si>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</si>
  <si>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</si>
  <si>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</si>
  <si>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</si>
  <si>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</si>
  <si>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</si>
  <si>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</si>
  <si>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</si>
  <si>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</si>
  <si>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</si>
  <si>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</si>
  <si>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</si>
  <si>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</si>
  <si>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</si>
  <si>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</si>
  <si>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</si>
  <si>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</si>
  <si>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</si>
  <si>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</si>
  <si>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</si>
  <si>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</si>
  <si>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</si>
  <si>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</si>
  <si>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</si>
  <si>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</si>
  <si>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</si>
  <si>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</si>
  <si>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</si>
  <si>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</si>
  <si>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</si>
  <si>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</si>
  <si>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</si>
  <si>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</si>
  <si>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</si>
  <si>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</si>
  <si>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</si>
  <si>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</si>
  <si>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</si>
  <si>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</si>
  <si>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</si>
  <si>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</si>
  <si>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</si>
  <si>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</si>
  <si>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</si>
  <si>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</si>
  <si>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</si>
  <si>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</si>
  <si>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</si>
  <si>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</si>
  <si>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</si>
  <si>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</si>
  <si>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</si>
  <si>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</si>
  <si>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</si>
  <si>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</si>
  <si>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</si>
  <si>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</si>
  <si>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</si>
  <si>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</si>
  <si>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</si>
  <si>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</si>
  <si>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</si>
  <si>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</si>
  <si>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</si>
  <si>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</si>
  <si>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</si>
  <si>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</si>
  <si>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</si>
  <si>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</si>
  <si>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</si>
  <si>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</si>
  <si>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</si>
  <si>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</si>
  <si>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</si>
  <si>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</si>
  <si>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</si>
  <si>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</si>
  <si>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</si>
  <si>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</si>
  <si>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</si>
  <si>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</si>
  <si>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</si>
  <si>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</si>
  <si>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</si>
  <si>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</si>
  <si>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</si>
  <si>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</si>
  <si>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</si>
  <si>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</si>
  <si>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</si>
  <si>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</si>
  <si>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</si>
  <si>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</si>
  <si>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</si>
  <si>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</si>
  <si>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</si>
  <si>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</si>
  <si>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</si>
  <si>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</si>
  <si>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</si>
  <si>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</si>
  <si>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</si>
  <si>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</si>
  <si>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</si>
  <si>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</si>
  <si>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</si>
  <si>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</si>
  <si>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</si>
  <si>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</si>
  <si>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</si>
  <si>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</si>
  <si>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</si>
  <si>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</si>
  <si>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</si>
  <si>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</si>
  <si>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</si>
  <si>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</si>
  <si>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</si>
  <si>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</si>
  <si>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</si>
  <si>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</si>
  <si>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</si>
  <si>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</si>
  <si>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</si>
  <si>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</si>
  <si>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</si>
  <si>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</si>
  <si>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</si>
  <si>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</si>
  <si>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</si>
  <si>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</si>
  <si>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</si>
  <si>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</si>
  <si>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</si>
  <si>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</si>
  <si>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</si>
  <si>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</si>
  <si>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</si>
  <si>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</si>
  <si>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</si>
  <si>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</si>
  <si>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</si>
  <si>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</si>
  <si>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</si>
  <si>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</si>
  <si>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</si>
  <si>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</si>
  <si>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</si>
  <si>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</si>
  <si>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</si>
  <si>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</si>
  <si>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</si>
  <si>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</si>
  <si>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</si>
  <si>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</si>
  <si>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</si>
  <si>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</si>
  <si>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</si>
  <si>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</si>
  <si>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</si>
  <si>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</si>
  <si>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</si>
  <si>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</si>
  <si>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</si>
  <si>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</si>
  <si>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</si>
  <si>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</si>
  <si>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</si>
  <si>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</si>
  <si>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</si>
  <si>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</si>
  <si>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</si>
  <si>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</si>
  <si>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</si>
  <si>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</si>
  <si>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</si>
  <si>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</si>
  <si>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</si>
  <si>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</si>
  <si>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</si>
  <si>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</si>
  <si>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</si>
  <si>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</si>
  <si>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</si>
  <si>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</si>
  <si>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</si>
  <si>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</si>
  <si>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</si>
  <si>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</si>
  <si>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</si>
  <si>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</si>
  <si>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</si>
  <si>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</si>
  <si>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</si>
  <si>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</si>
  <si>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</si>
  <si>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</si>
  <si>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</si>
  <si>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</si>
  <si>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</si>
  <si>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</si>
  <si>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</si>
  <si>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</si>
  <si>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</si>
  <si>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</si>
  <si>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</si>
  <si>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</si>
  <si>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</si>
  <si>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</si>
  <si>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</si>
  <si>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</si>
  <si>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</si>
  <si>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</si>
  <si>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</si>
  <si>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</si>
  <si>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</si>
  <si>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</si>
  <si>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</si>
  <si>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</si>
  <si>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</si>
  <si>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</si>
  <si>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</si>
  <si>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</si>
  <si>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</si>
  <si>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</si>
  <si>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</si>
  <si>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</si>
  <si>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</si>
  <si>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</si>
  <si>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</si>
  <si>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</si>
  <si>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</si>
  <si>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</si>
  <si>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</si>
  <si>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</si>
  <si>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</si>
  <si>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</si>
  <si>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</si>
  <si>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</si>
  <si>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</si>
  <si>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</si>
  <si>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</si>
  <si>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</si>
  <si>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</si>
  <si>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</si>
  <si>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</si>
  <si>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</si>
  <si>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</si>
  <si>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</si>
  <si>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</si>
  <si>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</si>
  <si>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</si>
  <si>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</si>
  <si>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</si>
  <si>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</si>
  <si>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</si>
  <si>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</si>
  <si>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</si>
  <si>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</si>
  <si>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</si>
  <si>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</si>
  <si>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</si>
  <si>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</si>
  <si>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</si>
  <si>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</si>
  <si>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</si>
  <si>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</si>
  <si>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</si>
  <si>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</si>
  <si>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</si>
  <si>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</si>
  <si>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</si>
  <si>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</si>
  <si>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</si>
  <si>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</si>
  <si>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</si>
  <si>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</si>
  <si>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</si>
  <si>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</si>
  <si>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</si>
  <si>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</si>
  <si>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</si>
  <si>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</si>
  <si>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</si>
  <si>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</si>
  <si>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</si>
  <si>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</si>
  <si>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</si>
  <si>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</si>
  <si>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</si>
  <si>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</si>
  <si>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</si>
  <si>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</si>
  <si>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</si>
  <si>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</si>
  <si>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</si>
  <si>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</si>
  <si>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</si>
  <si>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</si>
  <si>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</si>
  <si>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</si>
  <si>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</si>
  <si>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</si>
  <si>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</si>
  <si>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</si>
  <si>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</si>
  <si>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</si>
  <si>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</si>
  <si>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</si>
  <si>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</si>
  <si>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</si>
  <si>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</si>
  <si>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</si>
  <si>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</si>
  <si>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</si>
  <si>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</si>
  <si>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</si>
  <si>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</si>
  <si>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</si>
  <si>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</si>
  <si>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</si>
  <si>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</si>
  <si>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</si>
  <si>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</si>
  <si>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</si>
  <si>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</si>
  <si>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</si>
  <si>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</si>
  <si>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</si>
  <si>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</si>
  <si>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</si>
  <si>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</si>
  <si>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</si>
  <si>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</si>
  <si>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</si>
  <si>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</si>
  <si>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</si>
  <si>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</si>
  <si>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</si>
  <si>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</si>
  <si>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</si>
  <si>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</si>
  <si>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</si>
  <si>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</si>
  <si>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</si>
  <si>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</si>
  <si>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</si>
  <si>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</si>
  <si>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</si>
  <si>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</si>
  <si>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</si>
  <si>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</si>
  <si>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</si>
  <si>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</si>
  <si>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</si>
  <si>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</si>
  <si>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</si>
  <si>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</si>
  <si>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</si>
  <si>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</si>
  <si>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</si>
  <si>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</si>
  <si>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</si>
  <si>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</si>
  <si>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</si>
  <si>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</si>
  <si>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</si>
  <si>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</si>
  <si>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</si>
  <si>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</si>
  <si>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</si>
  <si>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</si>
  <si>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</si>
  <si>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</si>
  <si>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</si>
  <si>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</si>
  <si>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</si>
  <si>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</si>
  <si>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</si>
  <si>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</si>
  <si>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</si>
  <si>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</si>
  <si>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</si>
  <si>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</si>
  <si>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</si>
  <si>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</si>
  <si>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</si>
  <si>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</si>
  <si>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</si>
  <si>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</si>
  <si>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</si>
  <si>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</si>
  <si>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</si>
  <si>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</si>
  <si>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</si>
  <si>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</si>
  <si>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</si>
  <si>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</si>
  <si>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</si>
  <si>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</si>
  <si>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</si>
  <si>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</si>
  <si>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</si>
  <si>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</si>
  <si>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</si>
  <si>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</si>
  <si>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</si>
  <si>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</si>
  <si>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</si>
  <si>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</si>
  <si>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</si>
  <si>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</si>
  <si>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</si>
  <si>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</si>
  <si>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</si>
  <si>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</si>
  <si>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</si>
  <si>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</si>
  <si>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</si>
  <si>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</si>
  <si>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</si>
  <si>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</si>
  <si>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</si>
  <si>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</si>
  <si>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</si>
  <si>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</si>
  <si>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</si>
  <si>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</si>
  <si>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</si>
  <si>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</si>
  <si>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</si>
  <si>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</si>
  <si>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</si>
  <si>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</si>
  <si>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</si>
  <si>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</si>
  <si>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</si>
  <si>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</si>
  <si>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</si>
  <si>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</si>
  <si>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</si>
  <si>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</si>
  <si>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</si>
  <si>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</si>
  <si>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</si>
  <si>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</si>
  <si>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</si>
  <si>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</si>
  <si>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</si>
  <si>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</si>
  <si>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</si>
  <si>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</si>
  <si>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</si>
  <si>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</si>
  <si>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</si>
  <si>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</si>
  <si>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</si>
  <si>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</si>
  <si>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</si>
  <si>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</si>
  <si>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</si>
  <si>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</si>
  <si>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</si>
  <si>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</si>
  <si>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</si>
  <si>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</si>
  <si>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</si>
  <si>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</si>
  <si>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</si>
  <si>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</si>
  <si>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</si>
  <si>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</si>
  <si>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</si>
  <si>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</si>
  <si>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</si>
  <si>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</si>
  <si>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</si>
  <si>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</si>
  <si>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</si>
  <si>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</si>
  <si>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</si>
  <si>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</si>
  <si>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</si>
  <si>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</si>
  <si>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</si>
  <si>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</si>
  <si>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</si>
  <si>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</si>
  <si>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</si>
  <si>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</si>
  <si>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</si>
  <si>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</si>
  <si>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</si>
  <si>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</si>
  <si>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</si>
  <si>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</si>
  <si>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</si>
  <si>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</si>
  <si>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</si>
  <si>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</si>
  <si>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</si>
  <si>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</si>
  <si>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</si>
  <si>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</si>
  <si>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</si>
  <si>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</si>
  <si>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</si>
  <si>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</si>
  <si>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</si>
  <si>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</si>
  <si>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</si>
  <si>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</si>
  <si>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</si>
  <si>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</si>
  <si>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</si>
  <si>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</si>
  <si>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</si>
  <si>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</si>
  <si>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</si>
  <si>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</si>
  <si>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</si>
  <si>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</si>
  <si>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</si>
  <si>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</si>
  <si>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</si>
  <si>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</si>
  <si>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</si>
  <si>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</si>
  <si>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</si>
  <si>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</si>
  <si>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</si>
  <si>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</si>
  <si>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</si>
  <si>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</si>
  <si>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</si>
  <si>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</si>
  <si>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</si>
  <si>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</si>
  <si>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</si>
  <si>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</si>
  <si>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</si>
  <si>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</si>
  <si>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</si>
  <si>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</si>
  <si>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</si>
  <si>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</si>
  <si>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</si>
  <si>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</si>
  <si>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</si>
  <si>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</si>
  <si>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</si>
  <si>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</si>
  <si>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</si>
  <si>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</si>
  <si>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</si>
  <si>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</si>
  <si>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</si>
  <si>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</si>
  <si>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</si>
  <si>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</si>
  <si>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</si>
  <si>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</si>
  <si>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</si>
  <si>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</si>
  <si>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</si>
  <si>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</si>
  <si>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</si>
  <si>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</si>
  <si>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</si>
  <si>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</si>
  <si>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</si>
  <si>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</si>
  <si>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</si>
  <si>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</si>
  <si>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</si>
  <si>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</si>
  <si>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</si>
  <si>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</si>
  <si>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</si>
  <si>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</si>
  <si>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</si>
  <si>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</si>
  <si>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</si>
  <si>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</si>
  <si>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</si>
  <si>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</si>
  <si>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</si>
  <si>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</si>
  <si>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</si>
  <si>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</si>
  <si>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</si>
  <si>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</si>
  <si>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</si>
  <si>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</si>
  <si>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</si>
  <si>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</si>
  <si>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</si>
  <si>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</si>
  <si>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</si>
  <si>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</si>
  <si>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</si>
  <si>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</si>
  <si>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</si>
  <si>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</si>
  <si>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</si>
  <si>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</si>
  <si>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</si>
  <si>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</si>
  <si>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</si>
  <si>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</si>
  <si>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</si>
  <si>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</si>
  <si>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</si>
  <si>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</si>
  <si>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</si>
  <si>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</si>
  <si>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</si>
  <si>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</si>
  <si>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</si>
  <si>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</si>
  <si>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</si>
  <si>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</si>
  <si>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</si>
  <si>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</si>
  <si>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</si>
  <si>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</si>
  <si>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</si>
  <si>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</si>
  <si>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</si>
  <si>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</si>
  <si>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</si>
  <si>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</si>
  <si>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</si>
  <si>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</si>
  <si>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</si>
  <si>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</si>
  <si>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</si>
  <si>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</si>
  <si>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</si>
  <si>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</si>
  <si>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</si>
  <si>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</si>
  <si>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</si>
  <si>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</si>
  <si>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</si>
  <si>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</si>
  <si>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</si>
  <si>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</si>
  <si>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</si>
  <si>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</si>
  <si>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</si>
  <si>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</si>
  <si>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</si>
  <si>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</si>
  <si>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</si>
  <si>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</si>
  <si>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</si>
  <si>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</si>
  <si>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</si>
  <si>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</si>
  <si>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</si>
  <si>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</si>
  <si>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</si>
  <si>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</si>
  <si>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</si>
  <si>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</si>
  <si>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</si>
  <si>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</si>
  <si>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</si>
  <si>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</si>
  <si>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</si>
  <si>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</si>
  <si>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</si>
  <si>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</si>
  <si>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</si>
  <si>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</si>
  <si>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</si>
  <si>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</si>
  <si>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</si>
  <si>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</si>
  <si>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</si>
  <si>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</si>
  <si>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</si>
  <si>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</si>
  <si>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</si>
  <si>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</si>
  <si>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</si>
  <si>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</si>
  <si>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</si>
  <si>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</si>
  <si>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</si>
  <si>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</si>
  <si>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</si>
  <si>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</si>
  <si>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</si>
  <si>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</si>
  <si>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</si>
  <si>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</si>
  <si>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</si>
  <si>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</si>
  <si>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</si>
  <si>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</si>
  <si>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</si>
  <si>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</si>
  <si>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</si>
  <si>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</si>
  <si>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</si>
  <si>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</si>
  <si>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</si>
  <si>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</si>
  <si>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</si>
  <si>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</si>
  <si>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</si>
  <si>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</si>
  <si>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</si>
  <si>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</si>
  <si>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</si>
  <si>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</si>
  <si>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</si>
  <si>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</si>
  <si>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</si>
  <si>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</si>
  <si>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</si>
  <si>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</si>
  <si>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</si>
  <si>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</si>
  <si>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</si>
  <si>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</si>
  <si>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</si>
  <si>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</si>
  <si>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</si>
  <si>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</si>
  <si>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</si>
  <si>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</si>
  <si>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</si>
  <si>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</si>
  <si>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</si>
  <si>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</si>
  <si>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</si>
  <si>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</si>
  <si>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</si>
  <si>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</si>
  <si>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</si>
  <si>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</si>
  <si>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</si>
  <si>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</si>
  <si>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</si>
  <si>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</si>
  <si>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</si>
  <si>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</si>
  <si>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</si>
  <si>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</si>
  <si>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</si>
  <si>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</si>
  <si>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</si>
  <si>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</si>
  <si>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</si>
  <si>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</si>
  <si>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</si>
  <si>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</si>
  <si>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</si>
  <si>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</si>
  <si>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</si>
  <si>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</si>
  <si>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</si>
  <si>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</si>
  <si>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</si>
  <si>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</si>
  <si>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</si>
  <si>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</si>
  <si>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</si>
  <si>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</si>
  <si>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</si>
  <si>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</si>
  <si>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</si>
  <si>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</si>
  <si>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</si>
  <si>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</si>
  <si>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</si>
  <si>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</si>
  <si>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</si>
  <si>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</si>
  <si>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</si>
  <si>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</si>
  <si>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</si>
  <si>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</si>
  <si>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</si>
  <si>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</si>
  <si>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</si>
  <si>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</si>
  <si>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</si>
  <si>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</si>
  <si>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</si>
  <si>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</si>
  <si>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</si>
  <si>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</si>
  <si>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</si>
  <si>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</si>
  <si>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</si>
  <si>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</si>
  <si>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</si>
  <si>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</si>
  <si>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</si>
  <si>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</si>
  <si>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</si>
  <si>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</si>
  <si>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</si>
  <si>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</si>
  <si>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</si>
  <si>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</si>
  <si>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</si>
  <si>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</si>
  <si>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</si>
  <si>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</si>
  <si>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</si>
  <si>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</si>
  <si>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</si>
  <si>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</si>
  <si>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</si>
  <si>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</si>
  <si>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</si>
  <si>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</si>
  <si>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</si>
  <si>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</si>
  <si>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</si>
  <si>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</si>
  <si>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</si>
  <si>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</si>
  <si>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</si>
  <si>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</si>
  <si>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</si>
  <si>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</si>
  <si>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</si>
  <si>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</si>
  <si>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</si>
  <si>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</si>
  <si>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</si>
  <si>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</si>
  <si>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</si>
  <si>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</si>
  <si>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</si>
  <si>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</si>
  <si>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</si>
  <si>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</si>
  <si>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</si>
  <si>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</si>
  <si>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</si>
  <si>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</si>
  <si>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</si>
  <si>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</si>
  <si>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</si>
  <si>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</si>
  <si>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</si>
  <si>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</si>
  <si>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</si>
  <si>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</si>
  <si>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</si>
  <si>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</si>
  <si>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</si>
  <si>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</si>
  <si>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</si>
  <si>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</si>
  <si>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</si>
  <si>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</si>
  <si>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</si>
  <si>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</si>
  <si>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</si>
  <si>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</si>
  <si>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</si>
  <si>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</si>
  <si>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</si>
  <si>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</si>
  <si>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</si>
  <si>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</si>
  <si>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</si>
  <si>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</si>
  <si>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</si>
  <si>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</si>
  <si>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</si>
  <si>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</si>
  <si>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</si>
  <si>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</si>
  <si>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</si>
  <si>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</si>
  <si>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</si>
  <si>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</si>
  <si>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</si>
  <si>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</si>
  <si>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</si>
  <si>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</si>
  <si>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</si>
  <si>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</si>
  <si>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</si>
  <si>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</si>
  <si>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</si>
  <si>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</si>
  <si>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</si>
  <si>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</si>
  <si>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</si>
  <si>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</si>
  <si>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</si>
  <si>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</si>
  <si>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</si>
  <si>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</si>
  <si>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</si>
  <si>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</si>
  <si>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</si>
  <si>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</si>
  <si>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</si>
  <si>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</si>
  <si>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</si>
  <si>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</si>
  <si>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</si>
  <si>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</si>
  <si>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</si>
  <si>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</si>
  <si>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</si>
  <si>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</si>
  <si>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</si>
  <si>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</si>
  <si>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</si>
  <si>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</si>
  <si>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</si>
  <si>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</si>
  <si>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</si>
  <si>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</si>
  <si>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</si>
  <si>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</si>
  <si>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</si>
  <si>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</si>
  <si>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</si>
  <si>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</si>
  <si>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</si>
  <si>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</si>
  <si>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</si>
  <si>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</si>
  <si>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</si>
  <si>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</si>
  <si>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</si>
  <si>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</si>
  <si>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</si>
  <si>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</si>
  <si>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</si>
  <si>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</si>
  <si>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</si>
  <si>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</si>
  <si>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</si>
  <si>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</si>
  <si>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</si>
  <si>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</si>
  <si>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</si>
  <si>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</si>
  <si>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</si>
  <si>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</si>
  <si>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</si>
  <si>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</si>
  <si>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</si>
  <si>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</si>
  <si>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</si>
  <si>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</si>
  <si>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</si>
  <si>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</si>
  <si>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</si>
  <si>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</si>
  <si>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</si>
  <si>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</si>
  <si>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</si>
  <si>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</si>
  <si>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</si>
  <si>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</si>
  <si>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</si>
  <si>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</si>
  <si>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</si>
  <si>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</si>
  <si>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</si>
  <si>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</si>
  <si>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</si>
  <si>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</si>
  <si>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</si>
  <si>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</si>
  <si>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</si>
  <si>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</si>
  <si>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</si>
  <si>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</si>
  <si>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</si>
  <si>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</si>
  <si>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</si>
  <si>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</si>
  <si>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</si>
  <si>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</si>
  <si>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</si>
  <si>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</si>
  <si>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</si>
  <si>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</si>
  <si>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</si>
  <si>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</si>
  <si>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</si>
  <si>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</si>
  <si>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</si>
  <si>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</si>
  <si>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</si>
  <si>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</si>
  <si>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</si>
  <si>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</si>
  <si>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</si>
  <si>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</si>
  <si>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</si>
  <si>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</si>
  <si>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</si>
  <si>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</si>
  <si>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</si>
  <si>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</si>
  <si>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</si>
  <si>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</si>
  <si>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</si>
  <si>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</si>
  <si>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</si>
  <si>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</si>
  <si>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</si>
  <si>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</si>
  <si>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</si>
  <si>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</si>
  <si>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</si>
  <si>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</si>
  <si>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</si>
  <si>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</si>
  <si>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</si>
  <si>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</si>
  <si>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</si>
  <si>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</si>
  <si>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</si>
  <si>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</si>
  <si>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</si>
  <si>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</si>
  <si>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</si>
  <si>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</si>
  <si>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</si>
  <si>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</si>
  <si>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</si>
  <si>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</si>
  <si>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</si>
  <si>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</si>
  <si>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</si>
  <si>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</si>
  <si>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</si>
  <si>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</si>
  <si>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</si>
  <si>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</si>
  <si>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</si>
  <si>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</si>
  <si>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</si>
  <si>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</si>
  <si>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</si>
  <si>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</si>
  <si>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</si>
  <si>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</si>
  <si>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</si>
  <si>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</si>
  <si>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</si>
  <si>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</si>
  <si>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</si>
  <si>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</si>
  <si>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</si>
  <si>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</si>
  <si>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</si>
  <si>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</si>
  <si>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</si>
  <si>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</si>
  <si>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</si>
  <si>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</si>
  <si>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</si>
  <si>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</si>
  <si>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</si>
  <si>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</si>
  <si>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</si>
  <si>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</si>
  <si>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</si>
  <si>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</si>
  <si>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</si>
  <si>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</si>
  <si>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</si>
  <si>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</si>
  <si>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</si>
  <si>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</si>
  <si>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</si>
  <si>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</si>
  <si>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</si>
  <si>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</si>
  <si>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</si>
  <si>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</si>
  <si>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</si>
  <si>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</si>
  <si>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</si>
  <si>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</si>
  <si>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</si>
  <si>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</si>
  <si>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</si>
  <si>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</si>
  <si>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</si>
  <si>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</si>
  <si>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</si>
  <si>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</si>
  <si>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</si>
  <si>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</si>
  <si>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</si>
  <si>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</si>
  <si>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</si>
  <si>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</si>
  <si>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</si>
  <si>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</si>
  <si>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</si>
  <si>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</si>
  <si>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</si>
  <si>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</si>
  <si>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</si>
  <si>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</si>
  <si>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</si>
  <si>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</si>
  <si>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</si>
  <si>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</si>
  <si>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</si>
  <si>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</si>
  <si>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</si>
  <si>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</si>
  <si>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</si>
  <si>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</si>
  <si>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</si>
  <si>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</si>
  <si>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</si>
  <si>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</si>
  <si>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</si>
  <si>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</si>
  <si>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</si>
  <si>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</si>
  <si>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</si>
  <si>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</si>
  <si>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</si>
  <si>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</si>
  <si>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</si>
  <si>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</si>
  <si>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</si>
  <si>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</si>
  <si>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</si>
  <si>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</si>
  <si>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</si>
  <si>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</si>
  <si>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</si>
  <si>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</si>
  <si>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</si>
  <si>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</si>
  <si>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</si>
  <si>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</si>
  <si>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</si>
  <si>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</si>
  <si>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</si>
  <si>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</si>
  <si>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</si>
  <si>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</si>
  <si>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</si>
  <si>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</si>
  <si>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</si>
  <si>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</si>
  <si>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</si>
  <si>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</si>
  <si>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</si>
  <si>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</si>
  <si>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</si>
  <si>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</si>
  <si>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</si>
  <si>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</si>
  <si>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</si>
  <si>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</si>
  <si>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</si>
  <si>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</si>
  <si>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</si>
  <si>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</si>
  <si>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</si>
  <si>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</si>
  <si>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</si>
  <si>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</si>
  <si>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</si>
  <si>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</si>
  <si>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</si>
  <si>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</si>
  <si>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</si>
  <si>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</si>
  <si>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</si>
  <si>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</si>
  <si>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</si>
  <si>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</si>
  <si>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</si>
  <si>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</si>
  <si>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</si>
  <si>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</si>
  <si>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</si>
  <si>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</si>
  <si>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</si>
  <si>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</si>
  <si>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</si>
  <si>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</si>
  <si>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</si>
  <si>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</si>
  <si>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</si>
  <si>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</si>
  <si>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</si>
  <si>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</si>
  <si>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</si>
  <si>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</si>
  <si>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</si>
  <si>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</si>
  <si>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</si>
  <si>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</si>
  <si>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</si>
  <si>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</si>
  <si>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</si>
  <si>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</si>
  <si>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</si>
  <si>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</si>
  <si>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</si>
  <si>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</si>
  <si>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</si>
  <si>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</si>
  <si>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</si>
  <si>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</si>
  <si>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</si>
  <si>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</si>
  <si>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</si>
  <si>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</si>
  <si>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</si>
  <si>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</si>
  <si>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</si>
  <si>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</si>
  <si>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</si>
  <si>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</si>
  <si>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</si>
  <si>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</si>
  <si>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</si>
  <si>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</si>
  <si>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</si>
  <si>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</si>
  <si>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</si>
  <si>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</si>
  <si>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</si>
  <si>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</si>
  <si>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</si>
  <si>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</si>
  <si>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</si>
  <si>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</si>
  <si>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</si>
  <si>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</si>
  <si>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</si>
  <si>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</si>
  <si>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</si>
  <si>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</si>
  <si>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</si>
  <si>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</si>
  <si>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</si>
  <si>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</si>
  <si>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</si>
  <si>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</si>
  <si>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</si>
  <si>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</si>
  <si>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</si>
  <si>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</si>
  <si>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</si>
  <si>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</si>
  <si>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</si>
  <si>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</si>
  <si>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</si>
  <si>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</si>
  <si>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</si>
  <si>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</si>
  <si>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</si>
  <si>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</si>
  <si>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</si>
  <si>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</si>
  <si>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</si>
  <si>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</si>
  <si>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</si>
  <si>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</si>
  <si>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</si>
  <si>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</si>
  <si>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</si>
  <si>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</si>
  <si>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</si>
  <si>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</si>
  <si>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</si>
  <si>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</si>
  <si>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</si>
  <si>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</si>
  <si>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</si>
  <si>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</si>
  <si>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</si>
  <si>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</si>
  <si>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</si>
  <si>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</si>
  <si>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</si>
  <si>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</si>
  <si>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</si>
  <si>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</si>
  <si>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</si>
  <si>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</si>
  <si>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</si>
  <si>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</si>
  <si>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</si>
  <si>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</si>
  <si>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</si>
  <si>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</si>
  <si>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</si>
  <si>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</si>
  <si>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</si>
  <si>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</si>
  <si>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</si>
  <si>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</si>
  <si>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</si>
  <si>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</si>
  <si>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</si>
  <si>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</si>
  <si>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</si>
  <si>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</si>
  <si>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</si>
  <si>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</si>
  <si>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</si>
  <si>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</si>
  <si>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</si>
  <si>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</si>
  <si>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</si>
  <si>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</si>
  <si>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</si>
  <si>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</si>
  <si>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</si>
  <si>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</si>
  <si>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</si>
  <si>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</si>
  <si>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</si>
  <si>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</si>
  <si>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</si>
  <si>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</si>
  <si>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</si>
  <si>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</si>
  <si>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</si>
  <si>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</si>
  <si>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</si>
  <si>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</si>
  <si>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</si>
  <si>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</si>
  <si>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</si>
  <si>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</si>
  <si>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</si>
  <si>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</si>
  <si>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</si>
  <si>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</si>
  <si>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</si>
  <si>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</si>
  <si>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</si>
  <si>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</si>
  <si>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</si>
  <si>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</si>
  <si>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</si>
  <si>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</si>
  <si>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</si>
  <si>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</si>
  <si>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</si>
  <si>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</si>
  <si>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</si>
  <si>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</si>
  <si>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</si>
  <si>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</si>
  <si>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</si>
  <si>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</si>
  <si>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</si>
  <si>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</si>
  <si>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</si>
  <si>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</si>
  <si>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</si>
  <si>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</si>
  <si>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</si>
  <si>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</si>
  <si>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</si>
  <si>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</si>
  <si>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</si>
  <si>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</si>
  <si>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</si>
  <si>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</si>
  <si>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</si>
  <si>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</si>
  <si>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</si>
  <si>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</si>
  <si>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</si>
  <si>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</si>
  <si>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</si>
  <si>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</si>
  <si>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</si>
  <si>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</si>
  <si>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</si>
  <si>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</si>
  <si>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</si>
  <si>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</si>
  <si>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</si>
  <si>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</si>
  <si>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</si>
  <si>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</si>
  <si>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</si>
  <si>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</si>
  <si>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</si>
  <si>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</si>
  <si>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</si>
  <si>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</si>
  <si>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</si>
  <si>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</si>
  <si>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</si>
  <si>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</si>
  <si>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</si>
  <si>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</si>
  <si>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</si>
  <si>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</si>
  <si>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</si>
  <si>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</si>
  <si>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</si>
  <si>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</si>
  <si>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</si>
  <si>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</si>
  <si>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</si>
  <si>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</si>
  <si>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</si>
  <si>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</si>
  <si>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</si>
  <si>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</si>
  <si>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</si>
  <si>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</si>
  <si>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</si>
  <si>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</si>
  <si>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</si>
  <si>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</si>
  <si>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</si>
  <si>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</si>
  <si>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</si>
  <si>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</si>
  <si>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</si>
  <si>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</si>
  <si>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</si>
  <si>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</si>
  <si>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</si>
  <si>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</si>
  <si>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</si>
  <si>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</si>
  <si>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</si>
  <si>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</si>
  <si>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</si>
  <si>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</si>
  <si>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</si>
  <si>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</si>
  <si>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</si>
  <si>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</si>
  <si>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</si>
  <si>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</si>
  <si>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</si>
  <si>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</si>
  <si>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</si>
  <si>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</si>
  <si>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</si>
  <si>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</si>
  <si>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</si>
  <si>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</si>
  <si>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</si>
  <si>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</si>
  <si>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</si>
  <si>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</si>
  <si>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</si>
  <si>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</si>
  <si>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</si>
  <si>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</si>
  <si>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</si>
  <si>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</si>
  <si>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</si>
  <si>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</si>
  <si>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</si>
  <si>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</si>
  <si>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</si>
  <si>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</si>
  <si>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</si>
  <si>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</si>
  <si>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</si>
  <si>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</si>
  <si>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</si>
  <si>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</si>
  <si>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</si>
  <si>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</si>
  <si>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</si>
  <si>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</si>
  <si>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</si>
  <si>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</si>
  <si>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</si>
  <si>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</si>
  <si>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</si>
  <si>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</si>
  <si>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</si>
  <si>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</si>
  <si>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</si>
  <si>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</si>
  <si>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</si>
  <si>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</si>
  <si>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</si>
  <si>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</si>
  <si>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</si>
  <si>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</si>
  <si>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</si>
  <si>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</si>
  <si>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</si>
  <si>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</si>
  <si>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</si>
  <si>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</si>
  <si>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</si>
  <si>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</si>
  <si>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</si>
  <si>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</si>
  <si>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</si>
  <si>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</si>
  <si>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</si>
  <si>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</si>
  <si>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</si>
  <si>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</si>
  <si>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</si>
  <si>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</si>
  <si>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</si>
  <si>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</si>
  <si>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</si>
  <si>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</si>
  <si>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</si>
  <si>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</si>
  <si>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</si>
  <si>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</si>
  <si>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</si>
  <si>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</si>
  <si>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</si>
  <si>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</si>
  <si>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</si>
  <si>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</si>
  <si>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</si>
  <si>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</si>
  <si>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</si>
  <si>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</si>
  <si>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</si>
  <si>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</si>
  <si>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</si>
  <si>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</si>
  <si>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</si>
  <si>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</si>
  <si>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</si>
  <si>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</si>
  <si>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</si>
  <si>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</si>
  <si>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</si>
  <si>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</si>
  <si>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</si>
  <si>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</si>
  <si>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</si>
  <si>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</si>
  <si>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</si>
  <si>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</si>
  <si>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</si>
  <si>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</si>
  <si>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</si>
  <si>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</si>
  <si>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</si>
  <si>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</si>
  <si>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</si>
  <si>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</si>
  <si>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</si>
  <si>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</si>
  <si>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</si>
  <si>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</si>
  <si>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</si>
  <si>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</si>
  <si>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</si>
  <si>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</si>
  <si>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</si>
  <si>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</si>
  <si>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</si>
  <si>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</si>
  <si>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</si>
  <si>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</si>
  <si>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</si>
  <si>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</si>
  <si>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</si>
  <si>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</si>
  <si>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</si>
  <si>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</si>
  <si>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</si>
  <si>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</si>
  <si>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</si>
  <si>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</si>
  <si>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</si>
  <si>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</si>
  <si>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</si>
  <si>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</si>
  <si>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</si>
  <si>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</si>
  <si>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</si>
  <si>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</si>
  <si>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</si>
  <si>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</si>
  <si>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</si>
  <si>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</si>
  <si>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</si>
  <si>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</si>
  <si>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</si>
  <si>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</si>
  <si>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</si>
  <si>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</si>
  <si>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</si>
  <si>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</si>
  <si>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</si>
  <si>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</si>
  <si>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</si>
  <si>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</si>
  <si>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</si>
  <si>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</si>
  <si>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</si>
  <si>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</si>
  <si>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</si>
  <si>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</si>
  <si>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</si>
  <si>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</si>
  <si>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</si>
  <si>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</si>
  <si>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</si>
  <si>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</si>
  <si>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</si>
  <si>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</si>
  <si>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</si>
  <si>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</si>
  <si>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</si>
  <si>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</si>
  <si>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</si>
  <si>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</si>
  <si>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</si>
  <si>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</si>
  <si>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</si>
  <si>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</si>
  <si>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</si>
  <si>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</si>
  <si>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</si>
  <si>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</si>
  <si>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</si>
  <si>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</si>
  <si>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</si>
  <si>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</si>
  <si>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</si>
  <si>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</si>
  <si>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</si>
  <si>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</si>
  <si>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</si>
  <si>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</si>
  <si>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</si>
  <si>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</si>
  <si>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</si>
  <si>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</si>
  <si>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</si>
  <si>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</si>
  <si>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</si>
  <si>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</si>
  <si>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</si>
  <si>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</si>
  <si>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</si>
  <si>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</si>
  <si>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</si>
  <si>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</si>
  <si>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</si>
  <si>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</si>
  <si>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</si>
  <si>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</si>
  <si>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</si>
  <si>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</si>
  <si>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</si>
  <si>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</si>
  <si>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</si>
  <si>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</si>
  <si>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</si>
  <si>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</si>
  <si>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</si>
  <si>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</si>
  <si>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</si>
  <si>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</si>
  <si>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</si>
  <si>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</si>
  <si>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</si>
  <si>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</si>
  <si>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</si>
  <si>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</si>
  <si>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</si>
  <si>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</si>
  <si>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</si>
  <si>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</si>
  <si>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</si>
  <si>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</si>
  <si>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</si>
  <si>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</si>
  <si>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</si>
  <si>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</si>
  <si>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</si>
  <si>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</si>
  <si>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</si>
  <si>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</si>
  <si>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</si>
  <si>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</si>
  <si>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</si>
  <si>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</si>
  <si>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</si>
  <si>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</si>
  <si>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</si>
  <si>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</si>
  <si>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</si>
  <si>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</si>
  <si>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</si>
  <si>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</si>
  <si>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</si>
  <si>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</si>
  <si>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</si>
  <si>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</si>
  <si>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</si>
  <si>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</si>
  <si>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</si>
  <si>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</si>
  <si>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</si>
  <si>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</si>
  <si>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</si>
  <si>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</si>
  <si>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</si>
  <si>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</si>
  <si>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</si>
  <si>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</si>
  <si>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</si>
  <si>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</si>
  <si>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</si>
  <si>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</si>
  <si>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</si>
  <si>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</si>
  <si>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</si>
  <si>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</si>
  <si>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</si>
  <si>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</si>
  <si>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</si>
  <si>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</si>
  <si>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</si>
  <si>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</si>
  <si>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</si>
  <si>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</si>
  <si>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</si>
  <si>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</si>
  <si>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</si>
  <si>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</si>
  <si>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</si>
  <si>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</si>
  <si>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</si>
  <si>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</si>
  <si>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</si>
  <si>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</si>
  <si>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</si>
  <si>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</si>
  <si>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</si>
  <si>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</si>
  <si>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</si>
  <si>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</si>
  <si>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</si>
  <si>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</si>
  <si>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</si>
  <si>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</si>
  <si>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</si>
  <si>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</si>
  <si>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</si>
  <si>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</si>
  <si>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</si>
  <si>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</si>
  <si>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</si>
  <si>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</si>
  <si>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</si>
  <si>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</si>
  <si>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</si>
  <si>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</si>
  <si>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</si>
  <si>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</si>
  <si>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</si>
  <si>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</si>
  <si>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</si>
  <si>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</si>
  <si>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</si>
  <si>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</si>
  <si>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</si>
  <si>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</si>
  <si>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</si>
  <si>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</si>
  <si>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</si>
  <si>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</si>
  <si>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</si>
  <si>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</si>
  <si>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</si>
  <si>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</si>
  <si>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</si>
  <si>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</si>
  <si>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</si>
  <si>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</si>
  <si>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</si>
  <si>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</si>
  <si>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</si>
  <si>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</si>
  <si>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</si>
  <si>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</si>
  <si>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</si>
  <si>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</si>
  <si>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</si>
  <si>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</si>
  <si>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</si>
  <si>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</si>
  <si>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</si>
  <si>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</si>
  <si>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</si>
  <si>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</si>
  <si>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</si>
  <si>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</si>
  <si>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</si>
  <si>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</si>
  <si>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</si>
  <si>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</si>
  <si>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</si>
  <si>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</si>
  <si>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</si>
  <si>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</si>
  <si>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</si>
  <si>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</si>
  <si>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</si>
  <si>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</si>
  <si>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</si>
  <si>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</si>
  <si>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</si>
  <si>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</si>
  <si>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</si>
  <si>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</si>
  <si>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</si>
  <si>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</si>
  <si>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</si>
  <si>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</si>
  <si>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</si>
  <si>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</si>
  <si>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</si>
  <si>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</si>
  <si>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</si>
  <si>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</si>
  <si>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</si>
  <si>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</si>
  <si>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</si>
  <si>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</si>
  <si>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</si>
  <si>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</si>
  <si>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</si>
  <si>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</si>
  <si>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</si>
  <si>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</si>
  <si>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</si>
  <si>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</si>
  <si>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</si>
  <si>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</si>
  <si>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</si>
  <si>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</si>
  <si>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</si>
  <si>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</si>
  <si>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</si>
  <si>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</si>
  <si>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</si>
  <si>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</si>
  <si>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</si>
  <si>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</si>
  <si>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</si>
  <si>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</si>
  <si>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</si>
  <si>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</si>
  <si>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</si>
  <si>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</si>
  <si>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</si>
  <si>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</si>
  <si>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</si>
  <si>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</si>
  <si>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</si>
  <si>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</si>
  <si>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</si>
  <si>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</si>
  <si>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</si>
  <si>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</si>
  <si>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</si>
  <si>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</si>
  <si>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</si>
  <si>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</si>
  <si>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</si>
  <si>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</si>
  <si>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</si>
  <si>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</si>
  <si>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</si>
  <si>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</si>
  <si>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</si>
  <si>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</si>
  <si>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</si>
  <si>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</si>
  <si>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</si>
  <si>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</si>
  <si>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</si>
  <si>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</si>
  <si>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</si>
  <si>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</si>
  <si>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</si>
  <si>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</si>
  <si>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</si>
  <si>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</si>
  <si>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</si>
  <si>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</si>
  <si>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</si>
  <si>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</si>
  <si>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</si>
  <si>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</si>
  <si>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</si>
  <si>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</si>
  <si>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</si>
  <si>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</si>
  <si>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</si>
  <si>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</si>
  <si>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</si>
  <si>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</si>
  <si>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</si>
  <si>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</si>
  <si>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</si>
  <si>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</si>
  <si>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</si>
  <si>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</si>
  <si>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</si>
  <si>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</si>
  <si>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</si>
  <si>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</si>
  <si>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</si>
  <si>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</si>
  <si>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</si>
  <si>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</si>
  <si>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</si>
  <si>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</si>
  <si>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</si>
  <si>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</si>
  <si>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</si>
  <si>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</si>
  <si>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</si>
  <si>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</si>
  <si>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</si>
  <si>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</si>
  <si>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</si>
  <si>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</si>
  <si>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</si>
  <si>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</si>
  <si>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</si>
  <si>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</si>
  <si>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</si>
  <si>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</si>
  <si>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</si>
  <si>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</si>
  <si>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</si>
  <si>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</si>
  <si>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</si>
  <si>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</si>
  <si>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</si>
  <si>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</si>
  <si>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</si>
  <si>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</si>
  <si>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</si>
  <si>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</si>
  <si>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</si>
  <si>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</si>
  <si>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</si>
  <si>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</si>
  <si>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</si>
  <si>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</si>
  <si>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</si>
  <si>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</si>
  <si>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</si>
  <si>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</si>
  <si>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</si>
  <si>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</si>
  <si>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</si>
  <si>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</si>
  <si>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</si>
  <si>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</si>
  <si>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</si>
  <si>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</si>
  <si>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</si>
  <si>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</si>
  <si>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</si>
  <si>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</si>
  <si>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</si>
  <si>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</si>
  <si>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</si>
  <si>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</si>
  <si>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</si>
  <si>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</si>
  <si>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</si>
  <si>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</si>
  <si>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</si>
  <si>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</si>
  <si>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</si>
  <si>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</si>
  <si>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</si>
  <si>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</si>
  <si>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</si>
  <si>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</si>
  <si>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</si>
  <si>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</si>
  <si>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</si>
  <si>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</si>
  <si>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</si>
  <si>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</si>
  <si>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</si>
  <si>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</si>
  <si>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</si>
  <si>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</si>
  <si>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</si>
  <si>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</si>
  <si>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</si>
  <si>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</si>
  <si>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</si>
  <si>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</si>
  <si>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</si>
  <si>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</si>
  <si>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</si>
  <si>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</si>
  <si>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</si>
  <si>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</si>
  <si>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</si>
  <si>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</si>
  <si>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</si>
  <si>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</si>
  <si>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</si>
  <si>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</si>
  <si>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</si>
  <si>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</si>
  <si>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</si>
  <si>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</si>
  <si>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</si>
  <si>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</si>
  <si>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</si>
  <si>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</si>
  <si>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</si>
  <si>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</si>
  <si>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</si>
  <si>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</si>
  <si>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</si>
  <si>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</si>
  <si>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</si>
  <si>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</si>
  <si>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</si>
  <si>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</si>
  <si>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</si>
  <si>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</si>
  <si>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</si>
  <si>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</si>
  <si>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</si>
  <si>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</si>
  <si>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</si>
  <si>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</si>
  <si>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</si>
  <si>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</si>
  <si>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</si>
  <si>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</si>
  <si>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</si>
  <si>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</si>
  <si>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</si>
  <si>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</si>
  <si>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</si>
  <si>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</si>
  <si>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</si>
  <si>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</si>
  <si>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</si>
  <si>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</si>
  <si>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</si>
  <si>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</si>
  <si>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</si>
  <si>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</si>
  <si>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</si>
  <si>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</si>
  <si>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</si>
  <si>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</si>
  <si>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</si>
  <si>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</si>
  <si>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</si>
  <si>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</si>
  <si>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</si>
  <si>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</si>
  <si>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</si>
  <si>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</si>
  <si>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</si>
  <si>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</si>
  <si>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</si>
  <si>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</si>
  <si>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</si>
  <si>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</si>
  <si>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</si>
  <si>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</si>
  <si>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</si>
  <si>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</si>
  <si>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</si>
  <si>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</si>
  <si>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</si>
  <si>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</si>
  <si>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</si>
  <si>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</si>
  <si>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</si>
  <si>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</si>
  <si>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</si>
  <si>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</si>
  <si>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</si>
  <si>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</si>
  <si>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</si>
  <si>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</si>
  <si>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</si>
  <si>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</si>
  <si>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</si>
  <si>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</si>
  <si>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</si>
  <si>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</si>
  <si>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</si>
  <si>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</si>
  <si>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</si>
  <si>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</si>
  <si>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</si>
  <si>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</si>
  <si>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</si>
  <si>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</si>
  <si>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</si>
  <si>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</si>
  <si>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</si>
  <si>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</si>
  <si>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</si>
  <si>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</si>
  <si>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</si>
  <si>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</si>
  <si>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</si>
  <si>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</si>
  <si>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</si>
  <si>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</si>
  <si>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</si>
  <si>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</si>
  <si>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</si>
  <si>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</si>
  <si>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</si>
  <si>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</si>
  <si>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</si>
  <si>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</si>
  <si>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</si>
  <si>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</si>
  <si>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</si>
  <si>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</si>
  <si>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</si>
  <si>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</si>
  <si>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</si>
  <si>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</si>
  <si>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</si>
  <si>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</si>
  <si>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</si>
  <si>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</si>
  <si>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</si>
  <si>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</si>
  <si>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</si>
  <si>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</si>
  <si>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</si>
  <si>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</si>
  <si>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</si>
  <si>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</si>
  <si>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</si>
  <si>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</si>
  <si>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</si>
  <si>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</si>
  <si>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</si>
  <si>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</si>
  <si>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</si>
  <si>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</si>
  <si>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</si>
  <si>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</si>
  <si>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</si>
  <si>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</si>
  <si>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</si>
  <si>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</si>
  <si>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</si>
  <si>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</si>
  <si>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</si>
  <si>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</si>
  <si>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</si>
  <si>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</si>
  <si>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</si>
  <si>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</si>
  <si>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</si>
  <si>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</si>
  <si>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</si>
  <si>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</si>
  <si>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</si>
  <si>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</si>
  <si>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</si>
  <si>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</si>
  <si>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</si>
  <si>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</si>
  <si>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</si>
  <si>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</si>
  <si>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</si>
  <si>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</si>
  <si>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</si>
  <si>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</si>
  <si>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</si>
  <si>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</si>
  <si>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</si>
  <si>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</si>
  <si>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</si>
  <si>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</si>
  <si>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</si>
  <si>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</si>
  <si>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</si>
  <si>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</si>
  <si>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</si>
  <si>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</si>
  <si>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</si>
  <si>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</si>
  <si>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</si>
  <si>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</si>
  <si>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</si>
  <si>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</si>
  <si>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</si>
  <si>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</si>
  <si>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</si>
  <si>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</si>
  <si>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</si>
  <si>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</si>
  <si>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</si>
  <si>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</si>
  <si>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</si>
  <si>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</si>
  <si>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</si>
  <si>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</si>
  <si>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</si>
  <si>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</si>
  <si>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</si>
  <si>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</si>
  <si>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</si>
  <si>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</si>
  <si>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</si>
  <si>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</si>
  <si>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</si>
  <si>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</si>
  <si>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</si>
  <si>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</si>
  <si>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</si>
  <si>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</si>
  <si>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</si>
  <si>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</si>
  <si>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</si>
  <si>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</si>
  <si>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</si>
  <si>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</si>
  <si>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</si>
  <si>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</si>
  <si>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</si>
  <si>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</si>
  <si>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</si>
  <si>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</si>
  <si>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</si>
  <si>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</si>
  <si>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</si>
  <si>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</si>
  <si>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</si>
  <si>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</si>
  <si>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</si>
  <si>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</si>
  <si>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</si>
  <si>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</si>
  <si>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</si>
  <si>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</si>
  <si>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</si>
  <si>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</si>
  <si>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</si>
  <si>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</si>
  <si>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</si>
  <si>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</si>
  <si>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</si>
  <si>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</si>
  <si>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</si>
  <si>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</si>
  <si>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</si>
  <si>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</si>
  <si>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</si>
  <si>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</si>
  <si>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</si>
  <si>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</si>
  <si>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</si>
  <si>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</si>
  <si>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</si>
  <si>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</si>
  <si>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</si>
  <si>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</si>
  <si>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</si>
  <si>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</si>
  <si>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</si>
  <si>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</si>
  <si>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</si>
  <si>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</si>
  <si>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</si>
  <si>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</si>
  <si>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</si>
  <si>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</si>
  <si>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</si>
  <si>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</si>
  <si>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</si>
  <si>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</si>
  <si>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</si>
  <si>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</si>
  <si>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</si>
  <si>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</si>
  <si>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</si>
  <si>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</si>
  <si>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</si>
  <si>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</si>
  <si>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</si>
  <si>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</si>
  <si>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</si>
  <si>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</si>
  <si>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</si>
  <si>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</si>
  <si>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</si>
  <si>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</si>
  <si>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</si>
  <si>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</si>
  <si>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</si>
  <si>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</si>
  <si>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</si>
  <si>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</si>
  <si>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</si>
  <si>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</si>
  <si>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</si>
  <si>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</si>
  <si>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</si>
  <si>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</si>
  <si>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</si>
  <si>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</si>
  <si>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</si>
  <si>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</si>
  <si>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</si>
  <si>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</si>
  <si>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</si>
  <si>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</si>
  <si>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</si>
  <si>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</si>
  <si>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</si>
  <si>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</si>
  <si>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</si>
  <si>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</si>
  <si>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</si>
  <si>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</si>
  <si>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</si>
  <si>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</si>
  <si>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</si>
  <si>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</si>
  <si>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</si>
  <si>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</si>
  <si>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</si>
  <si>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</si>
  <si>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</si>
  <si>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</si>
  <si>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</si>
  <si>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</si>
  <si>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</si>
  <si>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</si>
  <si>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</si>
  <si>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</si>
  <si>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</si>
  <si>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</si>
  <si>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</si>
  <si>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</si>
  <si>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</si>
  <si>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</si>
  <si>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</si>
  <si>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</si>
  <si>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</si>
  <si>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</si>
  <si>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</si>
  <si>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</si>
  <si>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</si>
  <si>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</si>
  <si>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</si>
  <si>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</si>
  <si>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</si>
  <si>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</si>
  <si>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</si>
  <si>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</si>
  <si>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</si>
  <si>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</si>
  <si>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</si>
  <si>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</si>
  <si>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</si>
  <si>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</si>
  <si>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</si>
  <si>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</si>
  <si>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</si>
  <si>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</si>
  <si>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</si>
  <si>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</si>
  <si>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</si>
  <si>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</si>
  <si>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</si>
  <si>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</si>
  <si>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</si>
  <si>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</si>
  <si>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</si>
  <si>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</si>
  <si>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</si>
  <si>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</si>
  <si>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</si>
  <si>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</si>
  <si>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</si>
  <si>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</si>
  <si>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</si>
  <si>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</si>
  <si>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</si>
  <si>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</si>
  <si>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</si>
  <si>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</si>
  <si>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</si>
  <si>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</si>
  <si>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</si>
  <si>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</si>
  <si>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</si>
  <si>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</si>
  <si>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</si>
  <si>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</si>
  <si>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</si>
  <si>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</si>
  <si>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</si>
  <si>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</si>
  <si>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</si>
  <si>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</si>
  <si>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</si>
  <si>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</si>
  <si>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</si>
  <si>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</si>
  <si>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</si>
  <si>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</si>
  <si>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</si>
  <si>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</si>
  <si>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</si>
  <si>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</si>
  <si>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</si>
  <si>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</si>
  <si>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</si>
  <si>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</si>
  <si>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</si>
  <si>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</si>
  <si>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</si>
  <si>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</si>
  <si>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</si>
  <si>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</si>
  <si>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</si>
  <si>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</si>
  <si>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</si>
  <si>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</si>
  <si>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</si>
  <si>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</si>
  <si>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</si>
  <si>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</si>
  <si>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</si>
  <si>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</si>
  <si>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</si>
  <si>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</si>
  <si>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</si>
  <si>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</si>
  <si>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</si>
  <si>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</si>
  <si>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</si>
  <si>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</si>
  <si>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</si>
  <si>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</si>
  <si>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</si>
  <si>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</si>
  <si>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</si>
  <si>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</si>
  <si>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</si>
  <si>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</si>
  <si>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</si>
  <si>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</si>
  <si>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</si>
  <si>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</si>
  <si>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</si>
  <si>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</si>
  <si>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</si>
  <si>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</si>
  <si>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</si>
  <si>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</si>
  <si>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</si>
  <si>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</si>
  <si>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</si>
  <si>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</si>
  <si>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</si>
  <si>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</si>
  <si>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</si>
  <si>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</si>
  <si>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</si>
  <si>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</si>
  <si>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</si>
  <si>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</si>
  <si>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</si>
  <si>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</si>
  <si>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</si>
  <si>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</si>
  <si>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</si>
  <si>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</si>
  <si>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</si>
  <si>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</si>
  <si>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</si>
  <si>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</si>
  <si>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</si>
  <si>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</si>
  <si>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</si>
  <si>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</si>
  <si>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</si>
  <si>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</si>
  <si>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</si>
  <si>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</si>
  <si>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</si>
  <si>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</si>
  <si>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</si>
  <si>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</si>
  <si>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</si>
  <si>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</si>
  <si>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</si>
  <si>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</si>
  <si>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</si>
  <si>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</si>
  <si>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</si>
  <si>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</si>
  <si>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</si>
  <si>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</si>
  <si>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</si>
  <si>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</si>
  <si>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</si>
  <si>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</si>
  <si>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</si>
  <si>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</si>
  <si>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</si>
  <si>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</si>
  <si>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</si>
  <si>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</si>
  <si>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</si>
  <si>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</si>
  <si>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</si>
  <si>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</si>
  <si>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</si>
  <si>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</si>
  <si>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</si>
  <si>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</si>
  <si>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</si>
  <si>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</si>
  <si>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</si>
  <si>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</si>
  <si>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</si>
  <si>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</si>
  <si>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</si>
  <si>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</si>
  <si>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</si>
  <si>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</si>
  <si>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</si>
  <si>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</si>
  <si>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</si>
  <si>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</si>
  <si>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</si>
  <si>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</si>
  <si>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</si>
  <si>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</si>
  <si>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</si>
  <si>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</si>
  <si>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</si>
  <si>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</si>
  <si>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</si>
  <si>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</si>
  <si>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</si>
  <si>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</si>
  <si>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</si>
  <si>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</si>
  <si>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</si>
  <si>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</si>
  <si>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</si>
  <si>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</si>
  <si>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</si>
  <si>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</si>
  <si>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</si>
  <si>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</si>
  <si>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</si>
  <si>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</si>
  <si>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</si>
  <si>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</si>
  <si>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</si>
  <si>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</si>
  <si>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</si>
  <si>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</si>
  <si>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</si>
  <si>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</si>
  <si>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</si>
  <si>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</si>
  <si>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</si>
  <si>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</si>
  <si>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</si>
  <si>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</si>
  <si>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</si>
  <si>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</si>
  <si>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</si>
  <si>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</si>
  <si>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</si>
  <si>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</si>
  <si>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</si>
  <si>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</si>
  <si>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</si>
  <si>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</si>
  <si>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</si>
  <si>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</si>
  <si>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</si>
  <si>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</si>
  <si>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</si>
  <si>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</si>
  <si>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</si>
  <si>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</si>
  <si>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</si>
  <si>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</si>
  <si>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</si>
  <si>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</si>
  <si>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</si>
  <si>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</si>
  <si>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</si>
  <si>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</si>
  <si>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</si>
  <si>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</si>
  <si>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</si>
  <si>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</si>
  <si>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</si>
  <si>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</si>
  <si>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</si>
  <si>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</si>
  <si>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</si>
  <si>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</si>
  <si>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</si>
  <si>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</si>
  <si>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</si>
  <si>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</si>
  <si>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</si>
  <si>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</si>
  <si>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</si>
  <si>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</si>
  <si>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</si>
  <si>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</si>
  <si>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</si>
  <si>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</si>
  <si>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</si>
  <si>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</si>
  <si>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</si>
  <si>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</si>
  <si>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</si>
  <si>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</si>
  <si>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</si>
  <si>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</si>
  <si>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</si>
  <si>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</si>
  <si>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</si>
  <si>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</si>
  <si>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</si>
  <si>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</si>
  <si>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</si>
  <si>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</si>
  <si>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</si>
  <si>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</si>
  <si>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</si>
  <si>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</si>
  <si>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</si>
  <si>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</si>
  <si>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</si>
  <si>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</si>
  <si>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</si>
  <si>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</si>
  <si>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</si>
  <si>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</si>
  <si>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</si>
  <si>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</si>
  <si>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</si>
  <si>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</si>
  <si>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</si>
  <si>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</si>
  <si>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</si>
  <si>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</si>
  <si>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</si>
  <si>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</si>
  <si>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</si>
  <si>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</si>
  <si>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</si>
  <si>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</si>
  <si>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</si>
  <si>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</si>
  <si>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</si>
  <si>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</si>
  <si>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</si>
  <si>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</si>
  <si>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</si>
  <si>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</si>
  <si>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</si>
  <si>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</si>
  <si>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</si>
  <si>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</si>
  <si>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</si>
  <si>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</si>
  <si>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</si>
  <si>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</si>
  <si>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</si>
  <si>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</si>
  <si>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</si>
  <si>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</si>
  <si>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</si>
  <si>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</si>
  <si>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</si>
  <si>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</si>
  <si>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</si>
  <si>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</si>
  <si>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</si>
  <si>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</si>
  <si>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</si>
  <si>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</si>
  <si>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</si>
  <si>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</si>
  <si>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</si>
  <si>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</si>
  <si>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</si>
  <si>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</si>
  <si>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</si>
  <si>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</si>
  <si>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</si>
  <si>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</si>
  <si>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</si>
  <si>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</si>
  <si>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</si>
  <si>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</si>
  <si>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</si>
  <si>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</si>
  <si>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</si>
  <si>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</si>
  <si>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</si>
  <si>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</si>
  <si>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</si>
  <si>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</si>
  <si>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</si>
  <si>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</si>
  <si>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</si>
  <si>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</si>
  <si>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</si>
  <si>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</si>
  <si>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</si>
  <si>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</si>
  <si>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</si>
  <si>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</si>
  <si>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</si>
  <si>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</si>
  <si>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</si>
  <si>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</si>
  <si>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</si>
  <si>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</si>
  <si>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</si>
  <si>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</si>
  <si>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</si>
  <si>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</si>
  <si>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</si>
  <si>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</si>
  <si>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</si>
  <si>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</si>
  <si>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</si>
  <si>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</si>
  <si>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</si>
  <si>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</si>
  <si>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</si>
  <si>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</si>
  <si>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</si>
  <si>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</si>
  <si>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</si>
  <si>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</si>
  <si>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</si>
  <si>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</si>
  <si>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</si>
  <si>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</si>
  <si>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</si>
  <si>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</si>
  <si>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</si>
  <si>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</si>
  <si>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</si>
  <si>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</si>
  <si>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</si>
  <si>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</si>
  <si>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</si>
  <si>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</si>
  <si>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</si>
  <si>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</si>
  <si>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</si>
  <si>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</si>
  <si>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</si>
  <si>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</si>
  <si>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</si>
  <si>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</si>
  <si>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</si>
  <si>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</si>
  <si>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</si>
  <si>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</si>
  <si>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</si>
  <si>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</si>
  <si>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</si>
  <si>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</si>
  <si>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</si>
  <si>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</si>
  <si>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</si>
  <si>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</si>
  <si>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</si>
  <si>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</si>
  <si>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</si>
  <si>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</si>
  <si>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</si>
  <si>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</si>
  <si>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</si>
  <si>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</si>
  <si>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</si>
  <si>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</si>
  <si>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</si>
  <si>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</si>
  <si>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</si>
  <si>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</si>
  <si>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</si>
  <si>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</si>
  <si>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</si>
  <si>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</si>
  <si>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</si>
  <si>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</si>
  <si>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</si>
  <si>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</si>
  <si>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</si>
  <si>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</si>
  <si>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</si>
  <si>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</si>
  <si>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</si>
  <si>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</si>
  <si>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</si>
  <si>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</si>
  <si>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</si>
  <si>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</si>
  <si>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</si>
  <si>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</si>
  <si>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</si>
  <si>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</si>
  <si>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</si>
  <si>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</si>
  <si>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</si>
  <si>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</si>
  <si>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</si>
  <si>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</si>
  <si>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</si>
  <si>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</si>
  <si>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</si>
  <si>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</si>
  <si>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</si>
  <si>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</si>
  <si>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</si>
  <si>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</si>
  <si>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</si>
  <si>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</si>
  <si>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</si>
  <si>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</si>
  <si>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</si>
  <si>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</si>
  <si>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</si>
  <si>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</si>
  <si>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</si>
  <si>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</si>
  <si>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</si>
  <si>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</si>
  <si>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</si>
  <si>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</si>
  <si>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</si>
  <si>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</si>
  <si>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</si>
  <si>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</si>
  <si>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</si>
  <si>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</si>
  <si>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</si>
  <si>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</si>
  <si>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</si>
  <si>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</si>
  <si>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</si>
  <si>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</si>
  <si>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</si>
  <si>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</si>
  <si>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</si>
  <si>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</si>
  <si>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</si>
  <si>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</si>
  <si>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</si>
  <si>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</si>
  <si>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</si>
  <si>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</si>
  <si>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</si>
  <si>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</si>
  <si>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</si>
  <si>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</si>
  <si>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</si>
  <si>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</si>
  <si>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</si>
  <si>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</si>
  <si>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</si>
  <si>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</si>
  <si>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</si>
  <si>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</si>
  <si>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</si>
  <si>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</si>
  <si>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</si>
  <si>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</si>
  <si>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</si>
  <si>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</si>
  <si>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</si>
  <si>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</si>
  <si>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</si>
  <si>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</si>
  <si>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</si>
  <si>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</si>
  <si>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</si>
  <si>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</si>
  <si>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</si>
  <si>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</si>
  <si>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</si>
  <si>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</si>
  <si>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</si>
  <si>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</si>
  <si>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</si>
  <si>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</si>
  <si>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</si>
  <si>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</si>
  <si>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</si>
  <si>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</si>
  <si>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</si>
  <si>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</si>
  <si>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</si>
  <si>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</si>
  <si>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</si>
  <si>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</si>
  <si>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</si>
  <si>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</si>
  <si>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</si>
  <si>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</si>
  <si>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</si>
  <si>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</si>
  <si>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</si>
  <si>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</si>
  <si>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</si>
  <si>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</si>
  <si>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</si>
  <si>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</si>
  <si>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</si>
  <si>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</si>
  <si>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</si>
  <si>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</si>
  <si>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</si>
  <si>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</si>
  <si>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</si>
  <si>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</si>
  <si>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</si>
  <si>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</si>
  <si>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</si>
  <si>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</si>
  <si>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</si>
  <si>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</si>
  <si>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</si>
  <si>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</si>
  <si>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</si>
  <si>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</si>
  <si>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</si>
  <si>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</si>
  <si>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</si>
  <si>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</si>
  <si>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</si>
  <si>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</si>
  <si>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</si>
  <si>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</si>
  <si>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</si>
  <si>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</si>
  <si>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</si>
  <si>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</si>
  <si>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</si>
  <si>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</si>
  <si>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</si>
  <si>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</si>
  <si>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</si>
  <si>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</si>
  <si>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</si>
  <si>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</si>
  <si>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</si>
  <si>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</si>
  <si>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</si>
  <si>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</si>
  <si>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</si>
  <si>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</si>
  <si>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</si>
  <si>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</si>
  <si>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</si>
  <si>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</si>
  <si>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</si>
  <si>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</si>
  <si>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</si>
  <si>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</si>
  <si>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</si>
  <si>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</si>
  <si>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</si>
  <si>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</si>
  <si>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</si>
  <si>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</si>
  <si>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</si>
  <si>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</si>
  <si>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</si>
  <si>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</si>
  <si>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</si>
  <si>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</si>
  <si>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</si>
  <si>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</si>
  <si>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</si>
  <si>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</si>
  <si>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</si>
  <si>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</si>
  <si>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</si>
  <si>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</si>
  <si>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</si>
  <si>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</si>
  <si>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</si>
  <si>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</si>
  <si>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</si>
  <si>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</si>
  <si>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</si>
  <si>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</si>
  <si>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</si>
  <si>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</si>
  <si>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</si>
  <si>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</si>
  <si>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</si>
  <si>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</si>
  <si>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</si>
  <si>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</si>
  <si>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</si>
  <si>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</si>
  <si>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</si>
  <si>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</si>
  <si>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</si>
  <si>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</si>
  <si>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</si>
  <si>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</si>
  <si>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</si>
  <si>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</si>
  <si>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</si>
  <si>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</si>
  <si>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</si>
  <si>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</si>
  <si>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</si>
  <si>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</si>
  <si>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</si>
  <si>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</si>
  <si>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</si>
  <si>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</si>
  <si>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</si>
  <si>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</si>
  <si>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</si>
  <si>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</si>
  <si>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</si>
  <si>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</si>
  <si>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</si>
  <si>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</si>
  <si>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</si>
  <si>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</si>
  <si>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</si>
  <si>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</si>
  <si>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</si>
  <si>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</si>
  <si>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</si>
  <si>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</si>
  <si>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</si>
  <si>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</si>
  <si>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</si>
  <si>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</si>
  <si>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</si>
  <si>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</si>
  <si>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</si>
  <si>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</si>
  <si>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</si>
  <si>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</si>
  <si>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</si>
  <si>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</si>
  <si>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</si>
  <si>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</si>
  <si>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</si>
  <si>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</si>
  <si>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</si>
  <si>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</si>
  <si>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</si>
  <si>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</si>
  <si>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</si>
  <si>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</si>
  <si>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</si>
  <si>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</si>
  <si>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</si>
  <si>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</si>
  <si>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</si>
  <si>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</si>
  <si>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</si>
  <si>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</si>
  <si>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</si>
  <si>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</si>
  <si>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</si>
  <si>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</si>
  <si>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</si>
  <si>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</si>
  <si>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</si>
  <si>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</si>
  <si>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</si>
  <si>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</si>
  <si>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</si>
  <si>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</si>
  <si>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</si>
  <si>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</si>
  <si>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</si>
  <si>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</si>
  <si>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</si>
  <si>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</si>
  <si>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</si>
  <si>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</si>
  <si>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</si>
  <si>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</si>
  <si>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</si>
  <si>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</si>
  <si>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</si>
  <si>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</si>
  <si>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</si>
  <si>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</si>
  <si>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</si>
  <si>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</si>
  <si>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</si>
  <si>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</si>
  <si>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</si>
  <si>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</si>
  <si>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</si>
  <si>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</si>
  <si>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</si>
  <si>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</si>
  <si>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</si>
  <si>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</si>
  <si>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</si>
  <si>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</si>
  <si>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</si>
  <si>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</si>
  <si>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</si>
  <si>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</si>
  <si>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</si>
  <si>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</si>
  <si>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</si>
  <si>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</si>
  <si>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</si>
  <si>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</si>
  <si>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</si>
  <si>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</si>
  <si>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</si>
  <si>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</si>
  <si>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</si>
  <si>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</si>
  <si>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</si>
  <si>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</si>
  <si>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</si>
  <si>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</si>
  <si>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</si>
  <si>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</si>
  <si>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</si>
  <si>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</si>
  <si>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</si>
  <si>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</si>
  <si>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</si>
  <si>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</si>
  <si>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</si>
  <si>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</si>
  <si>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</si>
  <si>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</si>
  <si>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</si>
  <si>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</si>
  <si>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</si>
  <si>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</si>
  <si>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</si>
  <si>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</si>
  <si>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</si>
  <si>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</si>
  <si>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</si>
  <si>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</si>
  <si>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</si>
  <si>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</si>
  <si>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</si>
  <si>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</si>
  <si>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</si>
  <si>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</si>
  <si>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</si>
  <si>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</si>
  <si>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</si>
  <si>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</si>
  <si>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</si>
  <si>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</si>
  <si>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</si>
  <si>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</si>
  <si>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</si>
  <si>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</si>
  <si>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</si>
  <si>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</si>
  <si>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</si>
  <si>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</si>
  <si>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</si>
  <si>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</si>
  <si>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</si>
  <si>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</si>
  <si>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</si>
  <si>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</si>
  <si>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</si>
  <si>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</si>
  <si>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</si>
  <si>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</si>
  <si>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</si>
  <si>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</si>
  <si>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</si>
  <si>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</si>
  <si>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</si>
  <si>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</si>
  <si>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</si>
  <si>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</si>
  <si>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</si>
  <si>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</si>
  <si>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</si>
  <si>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</si>
  <si>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</si>
  <si>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</si>
  <si>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</si>
  <si>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</si>
  <si>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</si>
  <si>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</si>
  <si>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</si>
  <si>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</si>
  <si>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</si>
  <si>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</si>
  <si>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</si>
  <si>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</si>
  <si>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</si>
  <si>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</si>
  <si>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</si>
  <si>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</si>
  <si>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</si>
  <si>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</si>
  <si>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</si>
  <si>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</si>
  <si>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</si>
  <si>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</si>
  <si>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</si>
  <si>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</si>
  <si>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</si>
  <si>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</si>
  <si>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</si>
  <si>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</si>
  <si>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</si>
  <si>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</si>
  <si>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</si>
  <si>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</si>
  <si>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</si>
  <si>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</si>
  <si>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</si>
  <si>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</si>
  <si>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</si>
  <si>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</si>
  <si>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</si>
  <si>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</si>
  <si>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</si>
  <si>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</si>
  <si>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</si>
  <si>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</si>
  <si>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</si>
  <si>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</si>
  <si>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</si>
  <si>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</si>
  <si>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</si>
  <si>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</si>
  <si>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</si>
  <si>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</si>
  <si>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</si>
  <si>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</si>
  <si>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</si>
  <si>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</si>
  <si>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</si>
  <si>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</si>
  <si>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</si>
  <si>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</si>
  <si>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</si>
  <si>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</si>
  <si>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</si>
  <si>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</si>
  <si>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</si>
  <si>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</si>
  <si>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</si>
  <si>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</si>
  <si>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</si>
  <si>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</si>
  <si>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</si>
  <si>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</si>
  <si>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</si>
  <si>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</si>
  <si>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</si>
  <si>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</si>
  <si>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</si>
  <si>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</si>
  <si>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</si>
  <si>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</si>
  <si>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</si>
  <si>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</si>
  <si>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</si>
  <si>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</si>
  <si>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</si>
  <si>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</si>
  <si>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</si>
  <si>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</si>
  <si>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</si>
  <si>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</si>
  <si>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</si>
  <si>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</si>
  <si>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</si>
  <si>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</si>
  <si>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</si>
  <si>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</si>
  <si>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</si>
  <si>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</si>
  <si>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</si>
  <si>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</si>
  <si>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</si>
  <si>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</si>
  <si>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</si>
  <si>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</si>
  <si>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</si>
  <si>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</si>
  <si>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</si>
  <si>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</si>
  <si>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</si>
  <si>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</si>
  <si>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</si>
  <si>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</si>
  <si>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</si>
  <si>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</si>
  <si>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</si>
  <si>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</si>
  <si>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</si>
  <si>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</si>
  <si>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</si>
  <si>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</si>
  <si>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</si>
  <si>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</si>
  <si>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</si>
  <si>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</si>
  <si>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</si>
  <si>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</si>
  <si>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</si>
  <si>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</si>
  <si>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</si>
  <si>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</si>
  <si>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</si>
  <si>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</si>
  <si>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</si>
  <si>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</si>
  <si>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</si>
  <si>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</si>
  <si>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</si>
  <si>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</si>
  <si>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</si>
  <si>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</si>
  <si>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</si>
  <si>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</si>
  <si>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</si>
  <si>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</si>
  <si>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</si>
  <si>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</si>
  <si>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</si>
  <si>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</si>
  <si>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</si>
  <si>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</si>
  <si>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</si>
  <si>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</si>
  <si>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</si>
  <si>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</si>
  <si>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</si>
  <si>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</si>
  <si>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</si>
  <si>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</si>
  <si>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</si>
  <si>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</si>
  <si>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</si>
  <si>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</si>
  <si>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</si>
  <si>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</si>
  <si>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</si>
  <si>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</si>
  <si>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</si>
  <si>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</si>
  <si>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</si>
  <si>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</si>
  <si>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</si>
  <si>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</si>
  <si>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</si>
  <si>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</si>
  <si>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</si>
  <si>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</si>
  <si>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</si>
  <si>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</si>
  <si>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</si>
  <si>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</si>
  <si>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</si>
  <si>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</si>
  <si>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</si>
  <si>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</si>
  <si>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</si>
  <si>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</si>
  <si>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</si>
  <si>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</si>
  <si>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</si>
  <si>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</si>
  <si>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</si>
  <si>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</si>
  <si>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</si>
  <si>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</si>
  <si>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</si>
  <si>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</si>
  <si>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</si>
  <si>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</si>
  <si>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</si>
  <si>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</si>
  <si>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</si>
  <si>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</si>
  <si>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</si>
  <si>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</si>
  <si>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</si>
  <si>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</si>
  <si>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</si>
  <si>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</si>
  <si>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</si>
  <si>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</si>
  <si>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</si>
  <si>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</si>
  <si>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</si>
  <si>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</si>
  <si>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</si>
  <si>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</si>
  <si>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</si>
  <si>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</si>
  <si>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</si>
  <si>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</si>
  <si>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</si>
  <si>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</si>
  <si>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</si>
  <si>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</si>
  <si>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</si>
  <si>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</si>
  <si>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</si>
  <si>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</si>
  <si>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</si>
  <si>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</si>
  <si>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</si>
  <si>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</si>
  <si>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</si>
  <si>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</si>
  <si>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</si>
  <si>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</si>
  <si>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</si>
  <si>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</si>
  <si>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</si>
  <si>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</si>
  <si>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</si>
  <si>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</si>
  <si>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</si>
  <si>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</si>
  <si>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</si>
  <si>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</si>
  <si>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</si>
  <si>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</si>
  <si>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</si>
  <si>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</si>
  <si>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</si>
  <si>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</si>
  <si>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</si>
  <si>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</si>
  <si>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</si>
  <si>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</si>
  <si>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</si>
  <si>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</si>
  <si>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</si>
  <si>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</si>
  <si>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</si>
  <si>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</si>
  <si>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</si>
  <si>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</si>
  <si>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</si>
  <si>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</si>
  <si>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</si>
  <si>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</si>
  <si>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</si>
  <si>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</si>
  <si>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</si>
  <si>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</si>
  <si>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</si>
  <si>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</si>
  <si>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</si>
  <si>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</si>
  <si>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</si>
  <si>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</si>
  <si>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</si>
  <si>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</si>
  <si>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</si>
  <si>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</si>
  <si>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</si>
  <si>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</si>
  <si>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</si>
  <si>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</si>
  <si>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</si>
  <si>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</si>
  <si>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</si>
  <si>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</si>
  <si>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</si>
  <si>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</si>
  <si>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</si>
  <si>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</si>
  <si>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</si>
  <si>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</si>
  <si>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</si>
  <si>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</si>
  <si>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</si>
  <si>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</si>
  <si>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</si>
  <si>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</si>
  <si>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</si>
  <si>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</si>
  <si>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</si>
  <si>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</si>
  <si>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</si>
  <si>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</si>
  <si>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</si>
  <si>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</si>
  <si>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</si>
  <si>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</si>
  <si>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</si>
  <si>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</si>
  <si>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</si>
  <si>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</si>
  <si>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</si>
  <si>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</si>
  <si>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</si>
  <si>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</si>
  <si>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</si>
  <si>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</si>
  <si>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</si>
  <si>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</si>
  <si>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</si>
  <si>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</si>
  <si>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</si>
  <si>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</si>
  <si>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</si>
  <si>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</si>
  <si>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</si>
  <si>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</si>
  <si>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</si>
  <si>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</si>
  <si>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</si>
  <si>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</si>
  <si>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</si>
  <si>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</si>
  <si>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</si>
  <si>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</si>
  <si>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</si>
  <si>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</si>
  <si>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</si>
  <si>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</si>
  <si>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</si>
  <si>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</si>
  <si>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</si>
  <si>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</si>
  <si>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</si>
  <si>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</si>
  <si>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</si>
  <si>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</si>
  <si>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</si>
  <si>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</si>
  <si>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</si>
  <si>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</si>
  <si>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</si>
  <si>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</si>
  <si>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</si>
  <si>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</si>
  <si>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</si>
  <si>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</si>
  <si>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</si>
  <si>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</si>
  <si>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</si>
  <si>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</si>
  <si>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</si>
  <si>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</si>
  <si>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</si>
  <si>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</si>
  <si>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</si>
  <si>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</si>
  <si>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</si>
  <si>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</si>
  <si>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</si>
  <si>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</si>
  <si>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</si>
  <si>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</si>
  <si>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</si>
  <si>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</si>
  <si>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</si>
  <si>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</si>
  <si>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</si>
  <si>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</si>
  <si>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</si>
  <si>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</si>
  <si>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</si>
  <si>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</si>
  <si>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</si>
  <si>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</si>
  <si>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</si>
  <si>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</si>
  <si>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</si>
  <si>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</si>
  <si>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</si>
  <si>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</si>
  <si>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</si>
  <si>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</si>
  <si>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</si>
  <si>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</si>
  <si>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</si>
  <si>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</si>
  <si>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</si>
  <si>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</si>
  <si>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</si>
  <si>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</si>
  <si>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</si>
  <si>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</si>
  <si>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</si>
  <si>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</si>
  <si>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</si>
  <si>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</si>
  <si>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</si>
  <si>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</si>
  <si>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</si>
  <si>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</si>
  <si>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</si>
  <si>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</si>
  <si>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</si>
  <si>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</si>
  <si>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</si>
  <si>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</si>
  <si>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</si>
  <si>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</si>
  <si>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</si>
  <si>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</si>
  <si>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</si>
  <si>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</si>
  <si>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</si>
  <si>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</si>
  <si>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</si>
  <si>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</si>
  <si>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</si>
  <si>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</si>
  <si>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</si>
  <si>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</si>
  <si>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</si>
  <si>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</si>
  <si>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</si>
  <si>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</si>
  <si>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</si>
  <si>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</si>
  <si>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</si>
  <si>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</si>
  <si>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</si>
  <si>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</si>
  <si>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</si>
  <si>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</si>
  <si>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</si>
  <si>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</si>
  <si>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</si>
  <si>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</si>
  <si>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</si>
  <si>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</si>
  <si>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</si>
  <si>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</si>
  <si>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</si>
  <si>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</si>
  <si>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</si>
  <si>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</si>
  <si>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</si>
  <si>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</si>
  <si>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</si>
  <si>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</si>
  <si>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</si>
  <si>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</si>
  <si>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</si>
  <si>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</si>
  <si>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</si>
  <si>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</si>
  <si>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</si>
  <si>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</si>
  <si>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</si>
  <si>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</si>
  <si>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</si>
  <si>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</si>
  <si>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</si>
  <si>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</si>
  <si>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</si>
  <si>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</si>
  <si>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</si>
  <si>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</si>
  <si>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</si>
  <si>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</si>
  <si>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</si>
  <si>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</si>
  <si>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</si>
  <si>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</si>
  <si>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</si>
  <si>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</si>
  <si>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</si>
  <si>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</si>
  <si>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</si>
  <si>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</si>
  <si>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</si>
  <si>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</si>
  <si>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</si>
  <si>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</si>
  <si>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</si>
  <si>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</si>
  <si>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</si>
  <si>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</si>
  <si>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</si>
  <si>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</si>
  <si>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</si>
  <si>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</si>
  <si>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</si>
  <si>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</si>
  <si>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</si>
  <si>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</si>
  <si>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</si>
  <si>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</si>
  <si>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</si>
  <si>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</si>
  <si>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</si>
  <si>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</si>
  <si>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</si>
  <si>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</si>
  <si>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</si>
  <si>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</si>
  <si>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</si>
  <si>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</si>
  <si>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</si>
  <si>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</si>
  <si>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</si>
  <si>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</si>
  <si>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</si>
  <si>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</si>
  <si>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</si>
  <si>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</si>
  <si>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</si>
  <si>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</si>
  <si>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</si>
  <si>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</si>
  <si>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</si>
  <si>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</si>
  <si>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</si>
  <si>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</si>
  <si>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</si>
  <si>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</si>
  <si>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</si>
  <si>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</si>
  <si>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</si>
  <si>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</si>
  <si>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</si>
  <si>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</si>
  <si>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</si>
  <si>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</si>
  <si>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</si>
  <si>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</si>
  <si>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</si>
  <si>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</si>
  <si>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</si>
  <si>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</si>
  <si>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</si>
  <si>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</si>
  <si>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</si>
  <si>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</si>
  <si>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</si>
  <si>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</si>
  <si>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</si>
  <si>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</si>
  <si>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</si>
  <si>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</si>
  <si>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</si>
  <si>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</si>
  <si>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</si>
  <si>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</si>
  <si>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</si>
  <si>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</si>
  <si>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</si>
  <si>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</si>
  <si>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</si>
  <si>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</si>
  <si>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</si>
  <si>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</si>
  <si>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</si>
  <si>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</si>
  <si>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</si>
  <si>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</si>
  <si>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</si>
  <si>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</si>
  <si>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</si>
  <si>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</si>
  <si>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</si>
  <si>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</si>
  <si>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</si>
  <si>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</si>
  <si>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</si>
  <si>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</si>
  <si>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</si>
  <si>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</si>
  <si>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</si>
  <si>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</si>
  <si>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</si>
  <si>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</si>
  <si>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</si>
  <si>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</si>
  <si>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</si>
  <si>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</si>
  <si>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</si>
  <si>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</si>
  <si>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</si>
  <si>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</si>
  <si>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</si>
  <si>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</si>
  <si>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</si>
  <si>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</si>
  <si>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</si>
  <si>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</si>
  <si>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</si>
  <si>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</si>
  <si>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</si>
  <si>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</si>
  <si>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</si>
  <si>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</si>
  <si>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</si>
  <si>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</si>
  <si>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</si>
  <si>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</si>
  <si>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</si>
  <si>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</si>
  <si>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</si>
  <si>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</si>
  <si>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</si>
  <si>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</si>
  <si>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</si>
  <si>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</si>
  <si>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</si>
  <si>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</si>
  <si>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</si>
  <si>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</si>
  <si>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</si>
  <si>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</si>
  <si>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</si>
  <si>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</si>
  <si>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</si>
  <si>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</si>
  <si>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</si>
  <si>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</si>
  <si>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</si>
  <si>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</si>
  <si>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</si>
  <si>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</si>
  <si>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</si>
  <si>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</si>
  <si>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</si>
  <si>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</si>
  <si>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</si>
  <si>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</si>
  <si>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</si>
  <si>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</si>
  <si>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</si>
  <si>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</si>
  <si>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</si>
  <si>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</si>
  <si>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</si>
  <si>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</si>
  <si>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</si>
  <si>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</si>
  <si>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</si>
  <si>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</si>
  <si>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</si>
  <si>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</si>
  <si>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</si>
  <si>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</si>
  <si>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</si>
  <si>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</si>
  <si>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</si>
  <si>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</si>
  <si>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</si>
  <si>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</si>
  <si>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</si>
  <si>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</si>
  <si>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</si>
  <si>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</si>
  <si>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</si>
  <si>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</si>
  <si>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</si>
  <si>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</si>
  <si>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</si>
  <si>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</si>
  <si>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</si>
  <si>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</si>
  <si>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</si>
  <si>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</si>
  <si>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</si>
  <si>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</si>
  <si>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</si>
  <si>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</si>
  <si>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</si>
  <si>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</si>
  <si>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</si>
  <si>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</si>
  <si>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</si>
  <si>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</si>
  <si>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</si>
  <si>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</si>
  <si>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</si>
  <si>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</si>
  <si>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</si>
  <si>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</si>
  <si>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</si>
  <si>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</si>
  <si>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</si>
  <si>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</si>
  <si>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</si>
  <si>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</si>
  <si>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</si>
  <si>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</si>
  <si>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</si>
  <si>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</si>
  <si>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</si>
  <si>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</si>
  <si>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</si>
  <si>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</si>
  <si>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</si>
  <si>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</si>
  <si>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</si>
  <si>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</si>
  <si>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</si>
  <si>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</si>
  <si>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</si>
  <si>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</si>
  <si>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</si>
  <si>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</si>
  <si>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</si>
  <si>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</si>
  <si>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</si>
  <si>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</si>
  <si>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</si>
  <si>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</si>
  <si>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</si>
  <si>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</si>
  <si>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</si>
  <si>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</si>
  <si>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</si>
  <si>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</si>
  <si>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</si>
  <si>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</si>
  <si>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</si>
  <si>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</si>
  <si>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</si>
  <si>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</si>
  <si>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</si>
  <si>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</si>
  <si>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</si>
  <si>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</si>
  <si>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</si>
  <si>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</si>
  <si>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</si>
  <si>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</si>
  <si>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</si>
  <si>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</si>
  <si>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</si>
  <si>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</si>
  <si>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</si>
  <si>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</si>
  <si>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</si>
  <si>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</si>
  <si>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</si>
  <si>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</si>
  <si>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</si>
  <si>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</si>
  <si>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</si>
  <si>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</si>
  <si>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</si>
  <si>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</si>
  <si>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</si>
  <si>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</si>
  <si>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</si>
  <si>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</si>
  <si>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</si>
  <si>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</si>
  <si>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</si>
  <si>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</si>
  <si>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</si>
  <si>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</si>
  <si>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</si>
  <si>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</si>
  <si>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</si>
  <si>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</si>
  <si>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</si>
  <si>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</si>
  <si>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</si>
  <si>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</si>
  <si>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</si>
  <si>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</si>
  <si>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</si>
  <si>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</si>
  <si>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</si>
  <si>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</si>
  <si>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</si>
  <si>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</si>
  <si>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</si>
  <si>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</si>
  <si>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</si>
  <si>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</si>
  <si>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</si>
  <si>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</si>
  <si>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</si>
  <si>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</si>
  <si>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</si>
  <si>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</si>
  <si>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</si>
  <si>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</si>
  <si>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</si>
  <si>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</si>
  <si>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</si>
  <si>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</si>
  <si>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</si>
  <si>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</si>
  <si>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</si>
  <si>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</si>
  <si>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</si>
  <si>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</si>
  <si>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</si>
  <si>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</si>
  <si>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</si>
  <si>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</si>
  <si>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</si>
  <si>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</si>
  <si>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</si>
  <si>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</si>
  <si>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</si>
  <si>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</si>
  <si>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</si>
  <si>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</si>
  <si>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</si>
  <si>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</si>
  <si>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</si>
  <si>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</si>
  <si>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</si>
  <si>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</si>
  <si>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</si>
  <si>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</si>
  <si>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</si>
  <si>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</si>
  <si>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</si>
  <si>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</si>
  <si>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</si>
  <si>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</si>
  <si>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</si>
  <si>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</si>
  <si>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</si>
  <si>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</si>
  <si>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</si>
  <si>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</si>
  <si>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</si>
  <si>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</si>
  <si>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</si>
  <si>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</si>
  <si>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</si>
  <si>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</si>
  <si>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</si>
  <si>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</si>
  <si>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</si>
  <si>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</si>
  <si>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</si>
  <si>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</si>
  <si>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</si>
  <si>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</si>
  <si>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</si>
  <si>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</si>
  <si>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</si>
  <si>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</si>
  <si>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</si>
  <si>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</si>
  <si>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</si>
  <si>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</si>
  <si>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</si>
  <si>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</si>
  <si>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</si>
  <si>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</si>
  <si>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</si>
  <si>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</si>
  <si>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</si>
  <si>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</si>
  <si>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</si>
  <si>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</si>
  <si>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</si>
  <si>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</si>
  <si>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</si>
  <si>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</si>
  <si>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</si>
  <si>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</si>
  <si>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</si>
  <si>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</si>
  <si>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</si>
  <si>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</si>
  <si>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</si>
  <si>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</si>
  <si>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</si>
  <si>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</si>
  <si>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</si>
  <si>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</si>
  <si>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</si>
  <si>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</si>
  <si>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</si>
  <si>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</si>
  <si>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</si>
  <si>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</si>
  <si>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</si>
  <si>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</si>
  <si>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</si>
  <si>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</si>
  <si>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</si>
  <si>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</si>
  <si>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</si>
  <si>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</si>
  <si>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</si>
  <si>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</si>
  <si>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</si>
  <si>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</si>
  <si>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</si>
  <si>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</si>
  <si>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</si>
  <si>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</si>
  <si>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</si>
  <si>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</si>
  <si>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</si>
  <si>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</si>
  <si>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</si>
  <si>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</si>
  <si>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</si>
  <si>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</si>
  <si>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</si>
  <si>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</si>
  <si>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</si>
  <si>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</si>
  <si>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</si>
  <si>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</si>
  <si>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</si>
  <si>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</si>
  <si>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</si>
  <si>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</si>
  <si>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</si>
  <si>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</si>
  <si>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</si>
  <si>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</si>
  <si>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</si>
  <si>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</si>
  <si>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</si>
  <si>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</si>
  <si>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</si>
  <si>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</si>
  <si>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</si>
  <si>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</si>
  <si>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</si>
  <si>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</si>
  <si>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</si>
  <si>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</si>
  <si>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</si>
  <si>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</si>
  <si>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</si>
  <si>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</si>
  <si>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</si>
  <si>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</si>
  <si>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</si>
  <si>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</si>
  <si>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</si>
  <si>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</si>
  <si>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</si>
  <si>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</si>
  <si>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</si>
  <si>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</si>
  <si>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</si>
  <si>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</si>
  <si>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</si>
  <si>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</si>
  <si>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</si>
  <si>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</si>
  <si>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</si>
  <si>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</si>
  <si>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</si>
  <si>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</si>
  <si>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</si>
  <si>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</si>
  <si>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</si>
  <si>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</si>
  <si>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</si>
  <si>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</si>
  <si>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</si>
  <si>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</si>
  <si>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</si>
  <si>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</si>
  <si>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</si>
  <si>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</si>
  <si>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</si>
  <si>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</si>
  <si>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</si>
  <si>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</si>
  <si>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</si>
  <si>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</si>
  <si>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</si>
  <si>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</si>
  <si>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</si>
  <si>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</si>
  <si>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</si>
  <si>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</si>
  <si>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</si>
  <si>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</si>
  <si>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</si>
  <si>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</si>
  <si>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</si>
  <si>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</si>
  <si>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</si>
  <si>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</si>
  <si>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</si>
  <si>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</si>
  <si>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</si>
  <si>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</si>
  <si>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</si>
  <si>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</si>
  <si>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</si>
  <si>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</si>
  <si>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</si>
  <si>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</si>
  <si>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</si>
  <si>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</si>
  <si>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</si>
  <si>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</si>
  <si>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</si>
  <si>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</si>
  <si>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</si>
  <si>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</si>
  <si>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</si>
  <si>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</si>
  <si>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</si>
  <si>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</si>
  <si>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</si>
  <si>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</si>
  <si>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</si>
  <si>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</si>
  <si>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</si>
  <si>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</si>
  <si>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</si>
  <si>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</si>
  <si>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</si>
  <si>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</si>
  <si>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</si>
  <si>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</si>
  <si>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</si>
  <si>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</si>
  <si>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</si>
  <si>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</si>
  <si>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</si>
  <si>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</si>
  <si>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</si>
  <si>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</si>
  <si>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</si>
  <si>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</si>
  <si>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</si>
  <si>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</si>
  <si>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</si>
  <si>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</si>
  <si>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</si>
  <si>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</si>
  <si>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</si>
  <si>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</si>
  <si>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</si>
  <si>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</si>
  <si>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</si>
  <si>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</si>
  <si>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</si>
  <si>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</si>
  <si>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</si>
  <si>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</si>
  <si>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</si>
  <si>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</si>
  <si>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</si>
  <si>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</si>
  <si>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</si>
  <si>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</si>
  <si>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</si>
  <si>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</si>
  <si>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</si>
  <si>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</si>
  <si>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</si>
  <si>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</si>
  <si>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</si>
  <si>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</si>
  <si>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</si>
  <si>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</si>
  <si>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</si>
  <si>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</si>
  <si>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</si>
  <si>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</si>
  <si>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</si>
  <si>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</si>
  <si>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</si>
  <si>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</si>
  <si>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</si>
  <si>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</si>
  <si>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</si>
  <si>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</si>
  <si>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</si>
  <si>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</si>
  <si>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</si>
  <si>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</si>
  <si>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</si>
  <si>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</si>
  <si>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</si>
  <si>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</si>
  <si>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</si>
  <si>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</si>
  <si>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</si>
  <si>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</si>
  <si>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</si>
  <si>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</si>
  <si>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</si>
  <si>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</si>
  <si>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</si>
  <si>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</si>
  <si>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</si>
  <si>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</si>
  <si>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</si>
  <si>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</si>
  <si>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</si>
  <si>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</si>
  <si>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</si>
  <si>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</si>
  <si>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</si>
  <si>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</si>
  <si>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</si>
  <si>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</si>
  <si>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</si>
  <si>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</si>
  <si>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</si>
  <si>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</si>
  <si>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</si>
  <si>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</si>
  <si>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</si>
  <si>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</si>
  <si>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</si>
  <si>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</si>
  <si>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</si>
  <si>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</si>
  <si>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</si>
  <si>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</si>
  <si>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</si>
  <si>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</si>
  <si>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</si>
  <si>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</si>
  <si>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</si>
  <si>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</si>
  <si>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</si>
  <si>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</si>
  <si>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</si>
  <si>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</si>
  <si>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</si>
  <si>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</si>
  <si>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</si>
  <si>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</si>
  <si>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</si>
  <si>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</si>
  <si>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</si>
  <si>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</si>
  <si>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</si>
  <si>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</si>
  <si>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</si>
  <si>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</si>
  <si>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</si>
  <si>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</si>
  <si>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</si>
  <si>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</si>
  <si>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</si>
  <si>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</si>
  <si>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</si>
  <si>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</si>
  <si>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</si>
  <si>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</si>
  <si>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</si>
  <si>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</si>
  <si>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</si>
  <si>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</si>
  <si>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</si>
  <si>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</si>
  <si>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</si>
  <si>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</si>
  <si>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</si>
  <si>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</si>
  <si>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</si>
  <si>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</si>
  <si>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</si>
  <si>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</si>
  <si>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</si>
  <si>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</si>
  <si>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</si>
  <si>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</si>
  <si>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</si>
  <si>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</si>
  <si>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</si>
  <si>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</si>
  <si>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</si>
  <si>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</si>
  <si>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</si>
  <si>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</si>
  <si>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</si>
  <si>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</si>
  <si>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</si>
  <si>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</si>
  <si>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</si>
  <si>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</si>
  <si>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</si>
  <si>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</si>
  <si>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</si>
  <si>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</si>
  <si>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</si>
  <si>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</si>
  <si>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</si>
  <si>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</si>
  <si>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</si>
  <si>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</si>
  <si>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</si>
  <si>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</si>
  <si>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</si>
  <si>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</si>
  <si>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</si>
  <si>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</si>
  <si>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</si>
  <si>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</si>
  <si>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</si>
  <si>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</si>
  <si>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</si>
  <si>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</si>
  <si>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</si>
  <si>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</si>
  <si>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</si>
  <si>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</si>
  <si>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</si>
  <si>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</si>
  <si>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</si>
  <si>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</si>
  <si>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</si>
  <si>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</si>
  <si>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</si>
  <si>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</si>
  <si>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</si>
  <si>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</si>
  <si>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</si>
  <si>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</si>
  <si>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</si>
  <si>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</si>
  <si>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</si>
  <si>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</si>
  <si>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</si>
  <si>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</si>
  <si>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</si>
  <si>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</si>
  <si>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</si>
  <si>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</si>
  <si>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</si>
  <si>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</si>
  <si>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</si>
  <si>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</si>
  <si>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</si>
  <si>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</si>
  <si>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</si>
  <si>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</si>
  <si>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</si>
  <si>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</si>
  <si>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</si>
  <si>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</si>
  <si>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</si>
  <si>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</si>
  <si>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</si>
  <si>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</si>
  <si>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</si>
  <si>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</si>
  <si>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</si>
  <si>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</si>
  <si>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</si>
  <si>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</si>
  <si>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</si>
  <si>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</si>
  <si>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</si>
  <si>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</si>
  <si>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</si>
  <si>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</si>
  <si>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</si>
  <si>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</si>
  <si>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</si>
  <si>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</si>
  <si>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</si>
  <si>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</si>
  <si>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</si>
  <si>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</si>
  <si>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</si>
  <si>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</si>
  <si>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</si>
  <si>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</si>
  <si>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</si>
  <si>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</si>
  <si>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</si>
  <si>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</si>
  <si>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</si>
  <si>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</si>
  <si>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</si>
  <si>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</si>
  <si>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</si>
  <si>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</si>
  <si>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</si>
  <si>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</si>
  <si>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</si>
  <si>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</si>
  <si>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</si>
  <si>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</si>
  <si>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</si>
  <si>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</si>
  <si>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</si>
  <si>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</si>
  <si>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</si>
  <si>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</si>
  <si>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</si>
  <si>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</si>
  <si>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</si>
  <si>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</si>
  <si>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</si>
  <si>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</si>
  <si>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</si>
  <si>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</si>
  <si>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</si>
  <si>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</si>
  <si>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</si>
  <si>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</si>
  <si>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</si>
  <si>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</si>
  <si>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</si>
  <si>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</si>
  <si>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</si>
  <si>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</si>
  <si>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</si>
  <si>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</si>
  <si>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</si>
  <si>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</si>
  <si>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</si>
  <si>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</si>
  <si>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</si>
  <si>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</si>
  <si>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</si>
  <si>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CID000306</t>
  </si>
  <si>
    <t xml:space="preserve">CV Gita Pesona </t>
  </si>
  <si>
    <t/>
  </si>
  <si>
    <t>Bangka</t>
  </si>
  <si>
    <t>CID000315</t>
  </si>
  <si>
    <t xml:space="preserve">CV United Smelting </t>
  </si>
  <si>
    <t>Mr. Johanes Irving Tedy</t>
  </si>
  <si>
    <t>utdsmelt@yahoo.com</t>
  </si>
  <si>
    <t xml:space="preserve">Confirm EICC Status; Encourage Supplier to Encourage Smelter to endergo CFS Audit </t>
  </si>
  <si>
    <t>Ramiro Villavicencio</t>
  </si>
  <si>
    <t>ramiro.vallavicencio@vinto.gob.bo</t>
  </si>
  <si>
    <t>N/A, compliant smelter</t>
  </si>
  <si>
    <t>Bolivia  State owned &amp; Private Mines</t>
  </si>
  <si>
    <t>Bolivia</t>
  </si>
  <si>
    <t>Paweł Kupiec</t>
  </si>
  <si>
    <t>p.kupiec@fenixmetals.com</t>
  </si>
  <si>
    <t>scrap</t>
  </si>
  <si>
    <t>CID000760</t>
  </si>
  <si>
    <t>Huichang Jinshunda Tin Co., Ltd.</t>
  </si>
  <si>
    <t xml:space="preserve">Jiangxi Sheng </t>
  </si>
  <si>
    <t>刘冰</t>
  </si>
  <si>
    <t>ice8417733@163.com</t>
  </si>
  <si>
    <t>无</t>
  </si>
  <si>
    <t>Gaofeng,tongkeng</t>
  </si>
  <si>
    <t>guangxi,china</t>
  </si>
  <si>
    <t>27 JALAN PANTAI</t>
  </si>
  <si>
    <t>Raveentiran a/l Krishnan</t>
  </si>
  <si>
    <t>raveentiran@msmelt.com</t>
  </si>
  <si>
    <t>VARIOUS</t>
  </si>
  <si>
    <t>DRC, RWANDA, NIGERIA, AUSTRALIA, MALAYSIA, BRAZIL,</t>
  </si>
  <si>
    <t>Ivo Serkovic Gomez</t>
  </si>
  <si>
    <t>ivo.serkovic@minsur.com</t>
  </si>
  <si>
    <t>San Rafael</t>
  </si>
  <si>
    <t>Puno - Peru</t>
  </si>
  <si>
    <t>Mr. Guo</t>
  </si>
  <si>
    <t>yuntinic@sbcglobal.net</t>
  </si>
  <si>
    <t>Pacuni Chico (Reg.-No. 26961) - operated by Cooperativa Minera Pacuni Chico Ltda</t>
  </si>
  <si>
    <t>La Paz, Inquisivi Province, Quime Bolivia</t>
  </si>
  <si>
    <t>Pegantungan</t>
  </si>
  <si>
    <t>CID001434</t>
  </si>
  <si>
    <t>PT DS Jaya Abadi</t>
  </si>
  <si>
    <t>CID001448</t>
  </si>
  <si>
    <t>PT Karimun Mining</t>
  </si>
  <si>
    <t>Karimun</t>
  </si>
  <si>
    <t>CID001471</t>
  </si>
  <si>
    <t>PT Sumber Jaya Indah</t>
  </si>
  <si>
    <t>Kepulauan Bangka Belitung Mine, Bangka Mine, Belitung Mine, Bangka Selatan Mine, Bangka Tengah Mine</t>
  </si>
  <si>
    <t>CID001758</t>
  </si>
  <si>
    <t>Soft Metais Ltda.</t>
  </si>
  <si>
    <t>Bebedouro</t>
  </si>
  <si>
    <t>CID002530</t>
  </si>
  <si>
    <t>PT Inti Stania Prima</t>
  </si>
  <si>
    <t xml:space="preserve">PT Rajehan Ariq </t>
  </si>
  <si>
    <t>JL. AIR MAWAR DALAM BUKIT INTAN, PANGKAL PINANG, PROPINSI BANGKA BELITUNG</t>
  </si>
  <si>
    <t>Niels Keyaert / Vanessa Germonpre</t>
  </si>
  <si>
    <t>n.keyaert@aurubis.com / V.Germonpre@aurubis.com</t>
  </si>
  <si>
    <t>Recycled</t>
  </si>
  <si>
    <t>PT Sukses Inti Makmur</t>
  </si>
  <si>
    <t>Sungai Samak</t>
  </si>
  <si>
    <t>CID002834</t>
  </si>
  <si>
    <t>Thai Nguyen Mining and Metallurgy Co., Ltd.</t>
  </si>
  <si>
    <t>Thai Nguyen</t>
  </si>
  <si>
    <t>Chhattisgarh</t>
  </si>
  <si>
    <t>ASC Capacitors</t>
  </si>
  <si>
    <t>Justin Yager</t>
  </si>
  <si>
    <t>compliance@ascapacitor.com</t>
  </si>
  <si>
    <t>308-284-3611</t>
  </si>
  <si>
    <t>Chris Heilman</t>
  </si>
  <si>
    <t>President, COO</t>
  </si>
  <si>
    <t>cheilman@ascapacitor.com</t>
  </si>
  <si>
    <t>Necessary for the product functionality or production process.</t>
  </si>
  <si>
    <t xml:space="preserve">Necessary for the product functionality or production process. </t>
  </si>
  <si>
    <t>ascapacitor.com/iso-standards.html</t>
  </si>
  <si>
    <t>CFSI Certified Smelted CID001105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</si>
</sst>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FF00"/>
        </patternFill>
      </fill>
    </dxf>
    <dxf>
      <font>
        <color indexed="10"/>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ascapacito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eilman@ascapacito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021C8B1-78E3-43D5-90BA-4A45D8BFE73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0278D3F-10E7-4096-8B7E-32D1E49C464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43" zoomScalePageLayoutView="70" workbookViewId="0">
      <selection activeCell="B49" sqref="B4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15918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15919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15920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15921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15922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15923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15924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15921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45461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15926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15925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15928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15928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15927</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4" priority="160" stopIfTrue="1">
      <formula>IF($D$22="",TRUE)</formula>
    </cfRule>
  </conditionalFormatting>
  <conditionalFormatting sqref="D26:E26">
    <cfRule type="expression" dxfId="83" priority="138" stopIfTrue="1">
      <formula>IF($D$26="",TRUE)</formula>
    </cfRule>
  </conditionalFormatting>
  <conditionalFormatting sqref="D27:E27">
    <cfRule type="expression" dxfId="82" priority="145" stopIfTrue="1">
      <formula>IF($D$27="",TRUE)</formula>
    </cfRule>
  </conditionalFormatting>
  <conditionalFormatting sqref="D28:E28">
    <cfRule type="expression" dxfId="81" priority="146" stopIfTrue="1">
      <formula>IF($D$28="",TRUE)</formula>
    </cfRule>
  </conditionalFormatting>
  <conditionalFormatting sqref="D29:E29">
    <cfRule type="expression" dxfId="80" priority="147" stopIfTrue="1">
      <formula>IF($D$29="",TRUE)</formula>
    </cfRule>
  </conditionalFormatting>
  <conditionalFormatting sqref="D32:E32">
    <cfRule type="expression" dxfId="79" priority="56" stopIfTrue="1">
      <formula>IF(AND(OR($D$26="Yes",$D$26=""),$D$32=""),1,0)</formula>
    </cfRule>
    <cfRule type="expression" dxfId="78" priority="143" stopIfTrue="1">
      <formula>$P$26=""</formula>
    </cfRule>
  </conditionalFormatting>
  <conditionalFormatting sqref="D33:E33">
    <cfRule type="expression" dxfId="77" priority="43" stopIfTrue="1">
      <formula>IF(AND(OR($D$27="Yes",$D$27=""),$D$33=""),1,0)</formula>
    </cfRule>
    <cfRule type="expression" dxfId="76" priority="44" stopIfTrue="1">
      <formula>$P$27=""</formula>
    </cfRule>
  </conditionalFormatting>
  <conditionalFormatting sqref="D34:E34">
    <cfRule type="expression" dxfId="75" priority="2" stopIfTrue="1">
      <formula>IF(AND(OR($D$28="Yes",$D$28=""),$D$34=""),1,0)</formula>
    </cfRule>
    <cfRule type="expression" dxfId="74" priority="3" stopIfTrue="1">
      <formula>$P$28=""</formula>
    </cfRule>
  </conditionalFormatting>
  <conditionalFormatting sqref="D35:E35">
    <cfRule type="expression" dxfId="73" priority="40" stopIfTrue="1">
      <formula>IF(AND(OR($D$29="Yes",$D$29=""),$D$35=""),1,0)</formula>
    </cfRule>
    <cfRule type="expression" dxfId="72" priority="164" stopIfTrue="1">
      <formula>$P$29=""</formula>
    </cfRule>
  </conditionalFormatting>
  <conditionalFormatting sqref="D38:E38 D44:E44 D50:E50 D56:E56 D62:E62 D68:E68">
    <cfRule type="expression" dxfId="71" priority="19" stopIfTrue="1">
      <formula>$P$26=""</formula>
    </cfRule>
    <cfRule type="expression" dxfId="70" priority="20" stopIfTrue="1">
      <formula>$P$32=""</formula>
    </cfRule>
  </conditionalFormatting>
  <conditionalFormatting sqref="D38:E38">
    <cfRule type="expression" dxfId="69" priority="55" stopIfTrue="1">
      <formula>IF(AND(OR($D$26="Yes",$D$26=""),OR($D$32="Yes",$D$32=""),D38=""),1,0)</formula>
    </cfRule>
  </conditionalFormatting>
  <conditionalFormatting sqref="D39:E39 D45:E45 D51:E51 D57:E57 D63:E63 D69:E69">
    <cfRule type="expression" dxfId="68" priority="13" stopIfTrue="1">
      <formula>$P$33=""</formula>
    </cfRule>
    <cfRule type="expression" dxfId="67" priority="14" stopIfTrue="1">
      <formula>$P$39=""</formula>
    </cfRule>
  </conditionalFormatting>
  <conditionalFormatting sqref="D39:E39">
    <cfRule type="expression" dxfId="66" priority="51" stopIfTrue="1">
      <formula>IF(AND(OR($D$27="Yes",$D$27=""),OR($D$33="Yes",$D$33=""),D39=""),1,0)</formula>
    </cfRule>
  </conditionalFormatting>
  <conditionalFormatting sqref="D40:E40 D46:E46 D52:E52 D58:E58 D64:E64 D70:E70">
    <cfRule type="expression" dxfId="65" priority="8" stopIfTrue="1">
      <formula>$P$28=""</formula>
    </cfRule>
    <cfRule type="expression" dxfId="64" priority="9" stopIfTrue="1">
      <formula>$P$34=""</formula>
    </cfRule>
  </conditionalFormatting>
  <conditionalFormatting sqref="D40:E40">
    <cfRule type="expression" dxfId="63" priority="50" stopIfTrue="1">
      <formula>IF(AND(OR($D$28="Yes",$D$28=""),OR($D$34="Yes",$D$34=""),D40=""),1,0)</formula>
    </cfRule>
  </conditionalFormatting>
  <conditionalFormatting sqref="D41:E41 D47:E47 D53:E53 D59:E59 D65:E65 D71:E71">
    <cfRule type="expression" dxfId="62" priority="4" stopIfTrue="1">
      <formula>$P$29=""</formula>
    </cfRule>
    <cfRule type="expression" dxfId="61" priority="5" stopIfTrue="1">
      <formula>$P$35=""</formula>
    </cfRule>
  </conditionalFormatting>
  <conditionalFormatting sqref="D41:E41">
    <cfRule type="expression" dxfId="60" priority="166" stopIfTrue="1">
      <formula>IF(AND(OR($D$29="Yes",$D$29=""),OR($D$35="Yes",$D$35=""),D41=""),1,0)</formula>
    </cfRule>
  </conditionalFormatting>
  <conditionalFormatting sqref="D44:E44">
    <cfRule type="expression" dxfId="59" priority="54" stopIfTrue="1">
      <formula>IF(AND(OR($D$26="Yes",$D$26=""),OR($D$32="Yes",$D$32=""),D44=""),1,0)</formula>
    </cfRule>
  </conditionalFormatting>
  <conditionalFormatting sqref="D45:E45">
    <cfRule type="expression" dxfId="58" priority="16" stopIfTrue="1">
      <formula>IF(AND(OR($D$27="Yes",$D$27=""),OR($D$33="Yes",$D$33=""),D45=""),1,0)</formula>
    </cfRule>
  </conditionalFormatting>
  <conditionalFormatting sqref="D46:E46">
    <cfRule type="expression" dxfId="57" priority="41" stopIfTrue="1">
      <formula>IF(AND(OR($D$28="Yes",$D$28=""),OR($D$34="Yes",$D$34=""),D46=""),1,0)</formula>
    </cfRule>
  </conditionalFormatting>
  <conditionalFormatting sqref="D47:E47">
    <cfRule type="expression" dxfId="56" priority="49" stopIfTrue="1">
      <formula>IF(AND(OR($D$29="Yes",$D$29=""),OR($D$35="Yes",$D$35=""),D47=""),1,0)</formula>
    </cfRule>
  </conditionalFormatting>
  <conditionalFormatting sqref="D50:E50">
    <cfRule type="expression" dxfId="55" priority="22" stopIfTrue="1">
      <formula>IF(AND(OR($D$26="Yes",$D$26=""),OR($D$32="Yes",$D$32=""),D50=""),1,0)</formula>
    </cfRule>
  </conditionalFormatting>
  <conditionalFormatting sqref="D51:E51">
    <cfRule type="expression" dxfId="54" priority="161" stopIfTrue="1">
      <formula>IF(AND(OR($D$27="Yes",$D$27=""),OR($D$33="Yes",$D$33=""),D51=""),1,0)</formula>
    </cfRule>
  </conditionalFormatting>
  <conditionalFormatting sqref="D52:E52">
    <cfRule type="expression" dxfId="53" priority="12" stopIfTrue="1">
      <formula>IF(AND(OR($D$28="Yes",$D$28=""),OR($D$34="Yes",$D$34=""),D52=""),1,0)</formula>
    </cfRule>
  </conditionalFormatting>
  <conditionalFormatting sqref="D53:E53">
    <cfRule type="expression" dxfId="52" priority="35" stopIfTrue="1">
      <formula>IF(AND(OR($D$29="Yes",$D$29=""),OR($D$35="Yes",$D$35=""),D53=""),1,0)</formula>
    </cfRule>
  </conditionalFormatting>
  <conditionalFormatting sqref="D56:E56">
    <cfRule type="expression" dxfId="51" priority="30" stopIfTrue="1">
      <formula>IF(AND(OR($D$26="Yes",$D$26=""),OR($D$32="Yes",$D$32=""),D56=""),1,0)</formula>
    </cfRule>
  </conditionalFormatting>
  <conditionalFormatting sqref="D57:E57">
    <cfRule type="expression" dxfId="50" priority="18" stopIfTrue="1">
      <formula>IF(AND(OR($D$27="Yes",$D$27=""),OR($D$33="Yes",$D$33=""),D57=""),1,0)</formula>
    </cfRule>
  </conditionalFormatting>
  <conditionalFormatting sqref="D58:E58">
    <cfRule type="expression" dxfId="49" priority="11" stopIfTrue="1">
      <formula>IF(AND(OR($D$28="Yes",$D$28=""),OR($D$34="Yes",$D$34=""),D58=""),1,0)</formula>
    </cfRule>
  </conditionalFormatting>
  <conditionalFormatting sqref="D59:E59">
    <cfRule type="expression" dxfId="48" priority="7" stopIfTrue="1">
      <formula>IF(AND(OR($D$29="Yes",$D$29=""),OR($D$35="Yes",$D$35=""),D59=""),1,0)</formula>
    </cfRule>
  </conditionalFormatting>
  <conditionalFormatting sqref="D62:E62">
    <cfRule type="expression" dxfId="47" priority="29" stopIfTrue="1">
      <formula>IF(AND(OR($D$26="Yes",$D$26=""),OR($D$32="Yes",$D$32=""),D62=""),1,0)</formula>
    </cfRule>
  </conditionalFormatting>
  <conditionalFormatting sqref="D63:E63">
    <cfRule type="expression" dxfId="46" priority="15" stopIfTrue="1">
      <formula>IF(AND(OR($D$27="Yes",$D$27=""),OR($D$33="Yes",$D$33=""),D63=""),1,0)</formula>
    </cfRule>
  </conditionalFormatting>
  <conditionalFormatting sqref="D64:E64">
    <cfRule type="expression" dxfId="45" priority="10" stopIfTrue="1">
      <formula>IF(AND(OR($D$28="Yes",$D$28=""),OR($D$34="Yes",$D$34=""),D64=""),1,0)</formula>
    </cfRule>
  </conditionalFormatting>
  <conditionalFormatting sqref="D65:E65">
    <cfRule type="expression" dxfId="44" priority="6" stopIfTrue="1">
      <formula>IF(AND(OR($D$29="Yes",$D$29=""),OR($D$35="Yes",$D$35=""),D65=""),1,0)</formula>
    </cfRule>
  </conditionalFormatting>
  <conditionalFormatting sqref="D68:E68">
    <cfRule type="expression" dxfId="43" priority="21" stopIfTrue="1">
      <formula>IF(AND(OR($D$26="Yes",$D$26=""),OR($D$32="Yes",$D$32=""),D68=""),1,0)</formula>
    </cfRule>
  </conditionalFormatting>
  <conditionalFormatting sqref="D69:E69">
    <cfRule type="expression" dxfId="42" priority="17" stopIfTrue="1">
      <formula>IF(AND(OR($D$27="Yes",$D$27=""),OR($D$33="Yes",$D$33=""),D69=""),1,0)</formula>
    </cfRule>
  </conditionalFormatting>
  <conditionalFormatting sqref="D70:E70">
    <cfRule type="expression" dxfId="41" priority="163" stopIfTrue="1">
      <formula>IF(AND(OR($D$28="Yes",$D$28=""),OR($D$34="Yes",$D$34=""),D70=""),1,0)</formula>
    </cfRule>
  </conditionalFormatting>
  <conditionalFormatting sqref="D71:E71">
    <cfRule type="expression" dxfId="40" priority="165" stopIfTrue="1">
      <formula>IF(AND(OR($D$29="Yes",$D$29=""),OR($D$35="Yes",$D$35=""),D71=""),1,0)</formula>
    </cfRule>
  </conditionalFormatting>
  <conditionalFormatting sqref="D75:E75 D77:E77 D79:E79 D81:E81 D83 D85:E85 D87:E87 D89:E89">
    <cfRule type="expression" dxfId="39" priority="86" stopIfTrue="1">
      <formula>AND(OR($D$26="No",AND($D$26="Yes",$D$32="No")),OR($D$27="No",AND($D$27="Yes",$D$33="No")),OR($D$28="No",AND($D$28="Yes",$D$34="No")),OR($D$29="No",AND($D$29="Yes",$D$35="No")))</formula>
    </cfRule>
    <cfRule type="expression" dxfId="38" priority="87" stopIfTrue="1">
      <formula>IF(D75="",TRUE)</formula>
    </cfRule>
  </conditionalFormatting>
  <conditionalFormatting sqref="D9:G9">
    <cfRule type="expression" dxfId="37" priority="153" stopIfTrue="1">
      <formula>IF($D$9="",TRUE)</formula>
    </cfRule>
  </conditionalFormatting>
  <conditionalFormatting sqref="D8:J8">
    <cfRule type="expression" dxfId="36" priority="152" stopIfTrue="1">
      <formula>IF($D$8="",TRUE)</formula>
    </cfRule>
  </conditionalFormatting>
  <conditionalFormatting sqref="D10:J10">
    <cfRule type="expression" dxfId="35" priority="57" stopIfTrue="1">
      <formula>IF($D$9=$Q$9,TRUE)</formula>
    </cfRule>
    <cfRule type="expression" dxfId="34" priority="167" stopIfTrue="1">
      <formula>IF(AND($D$10="",$D$9=$R$9),TRUE)</formula>
    </cfRule>
  </conditionalFormatting>
  <conditionalFormatting sqref="D15:J15">
    <cfRule type="expression" dxfId="33" priority="154" stopIfTrue="1">
      <formula>IF($D$15="",TRUE)</formula>
    </cfRule>
  </conditionalFormatting>
  <conditionalFormatting sqref="D16:J16">
    <cfRule type="expression" dxfId="32" priority="155" stopIfTrue="1">
      <formula>IF($D$16="",TRUE)</formula>
    </cfRule>
  </conditionalFormatting>
  <conditionalFormatting sqref="D17:J17">
    <cfRule type="expression" dxfId="31" priority="23" stopIfTrue="1">
      <formula>IF($D$17="",TRUE)</formula>
    </cfRule>
  </conditionalFormatting>
  <conditionalFormatting sqref="D18:J18">
    <cfRule type="expression" dxfId="30" priority="157" stopIfTrue="1">
      <formula>IF($D$18="",TRUE)</formula>
    </cfRule>
  </conditionalFormatting>
  <conditionalFormatting sqref="D20:J20">
    <cfRule type="expression" dxfId="29" priority="36" stopIfTrue="1">
      <formula>IF($D$20="",TRUE)</formula>
    </cfRule>
  </conditionalFormatting>
  <conditionalFormatting sqref="G85:J85">
    <cfRule type="expression" dxfId="28" priority="48" stopIfTrue="1">
      <formula>IF(AND($D$85="Yes, using other format (describe)",$G$85=""),TRUE)</formula>
    </cfRule>
  </conditionalFormatting>
  <conditionalFormatting sqref="G77:J77">
    <cfRule type="expression" dxfId="27"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25F4397-C1CF-45C8-A8F0-4E67097C7E41}"/>
    <hyperlink ref="D20" r:id="rId4" xr:uid="{271D921C-61F8-455D-9981-2B6D7DD3E9B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40" zoomScaleNormal="100" zoomScalePageLayoutView="55" workbookViewId="0">
      <selection activeCell="C44" sqref="C4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2261</v>
      </c>
      <c r="B5" s="182" t="s">
        <v>1120</v>
      </c>
      <c r="C5" s="186" t="s">
        <v>2318</v>
      </c>
      <c r="D5" s="230"/>
      <c r="E5" s="182" t="s">
        <v>1090</v>
      </c>
      <c r="F5" s="182" t="s">
        <v>2261</v>
      </c>
      <c r="G5" s="182" t="s">
        <v>13217</v>
      </c>
      <c r="H5" s="183">
        <v>0</v>
      </c>
      <c r="I5" s="184" t="s">
        <v>1760</v>
      </c>
      <c r="J5" s="184" t="s">
        <v>13600</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IF(C5="",NA(),IF(OR(C5="Smelter not listed",C5="Smelter not yet identified"),MATCH($B5&amp;$D5,'Smelter Look-up'!$J:$J,0),MATCH($B5&amp;$C5,'Smelter Look-up'!$J:$J,0)))</f>
        <v>411</v>
      </c>
      <c r="X5" s="227">
        <f t="shared" ref="X5" si="0">IF(AND(C5="Smelter not listed",OR(LEN(D5)=0,LEN(E5)=0)),1,0)</f>
        <v>0</v>
      </c>
      <c r="AB5" s="228" t="str">
        <f t="shared" ref="AB5" si="1">B5&amp;C5</f>
        <v>TinChenzhou Yunxiang Mining and Metallurgy Co., Ltd.</v>
      </c>
    </row>
    <row r="6" spans="1:34" s="227" customFormat="1" ht="20.100000000000001" customHeight="1">
      <c r="A6" s="262" t="s">
        <v>758</v>
      </c>
      <c r="B6" s="182" t="s">
        <v>1120</v>
      </c>
      <c r="C6" s="186" t="s">
        <v>47</v>
      </c>
      <c r="D6" s="230"/>
      <c r="E6" s="182" t="s">
        <v>2415</v>
      </c>
      <c r="F6" s="182" t="s">
        <v>758</v>
      </c>
      <c r="G6" s="182" t="s">
        <v>13217</v>
      </c>
      <c r="H6" s="183">
        <v>0</v>
      </c>
      <c r="I6" s="184" t="s">
        <v>1746</v>
      </c>
      <c r="J6" s="184" t="s">
        <v>1725</v>
      </c>
      <c r="K6" s="224"/>
      <c r="L6" s="224"/>
      <c r="M6" s="224"/>
      <c r="N6" s="224"/>
      <c r="O6" s="224"/>
      <c r="P6" s="185"/>
      <c r="Q6" s="225"/>
      <c r="R6" s="182" t="str">
        <f ca="1">IF(ISERROR($V6),"",OFFSET('Smelter Look-up'!$C$4,$V6-4,0)&amp;"")</f>
        <v>Alpha</v>
      </c>
      <c r="S6" s="181" t="str">
        <f t="shared" ref="S6:S36" ca="1" si="2">IF(B6="","",IF(ISERROR(MATCH($E6,CL,0)),"Unknown",INDIRECT("'C'!$A$"&amp;MATCH($E6,CL,0)+1)))</f>
        <v>US</v>
      </c>
      <c r="T6" s="181" t="str">
        <f ca="1">IF(B6="","",IF(ISERROR(MATCH($J6,SorP!$B$1:$B$6226,0)),"",INDIRECT("'SorP'!$A$"&amp;MATCH($S6&amp;$J6,SorP!C:C,0))))</f>
        <v>US-PA</v>
      </c>
      <c r="U6" s="201"/>
      <c r="V6" s="226">
        <f>IF(C6="",NA(),IF(OR(C6="Smelter not listed",C6="Smelter not yet identified"),MATCH($B6&amp;$D6,'Smelter Look-up'!$J:$J,0),MATCH($B6&amp;$C6,'Smelter Look-up'!$J:$J,0)))</f>
        <v>400</v>
      </c>
      <c r="X6" s="227">
        <f t="shared" ref="X6:X36" si="3">IF(AND(C6="Smelter not listed",OR(LEN(D6)=0,LEN(E6)=0)),1,0)</f>
        <v>0</v>
      </c>
      <c r="AB6" s="228" t="str">
        <f t="shared" ref="AB6:AB36" si="4">B6&amp;C6</f>
        <v>TinAlpha</v>
      </c>
    </row>
    <row r="7" spans="1:34" s="227" customFormat="1" ht="20.100000000000001" customHeight="1">
      <c r="A7" s="262" t="s">
        <v>15855</v>
      </c>
      <c r="B7" s="182" t="s">
        <v>1120</v>
      </c>
      <c r="C7" s="186" t="s">
        <v>1834</v>
      </c>
      <c r="D7" s="230" t="s">
        <v>15856</v>
      </c>
      <c r="E7" s="182" t="s">
        <v>1095</v>
      </c>
      <c r="F7" s="182" t="s">
        <v>15855</v>
      </c>
      <c r="G7" s="182" t="s">
        <v>13217</v>
      </c>
      <c r="H7" s="183" t="s">
        <v>15857</v>
      </c>
      <c r="I7" s="184" t="s">
        <v>1753</v>
      </c>
      <c r="J7" s="184" t="s">
        <v>15858</v>
      </c>
      <c r="K7" s="224"/>
      <c r="L7" s="224"/>
      <c r="M7" s="224"/>
      <c r="N7" s="224"/>
      <c r="O7" s="224"/>
      <c r="P7" s="185"/>
      <c r="Q7" s="225"/>
      <c r="R7" s="182" t="str">
        <f ca="1">IF(ISERROR($V7),"",OFFSET('Smelter Look-up'!$C$4,$V7-4,0)&amp;"")</f>
        <v/>
      </c>
      <c r="S7" s="181" t="str">
        <f t="shared" ca="1" si="2"/>
        <v>ID</v>
      </c>
      <c r="T7" s="181" t="str">
        <f ca="1">IF(B7="","",IF(ISERROR(MATCH($J7,SorP!$B$1:$B$6226,0)),"",INDIRECT("'SorP'!$A$"&amp;MATCH($S7&amp;$J7,SorP!C:C,0))))</f>
        <v/>
      </c>
      <c r="U7" s="201"/>
      <c r="V7" s="226" t="e">
        <f>IF(C7="",NA(),IF(OR(C7="Smelter not listed",C7="Smelter not yet identified"),MATCH($B7&amp;$D7,'Smelter Look-up'!$J:$J,0),MATCH($B7&amp;$C7,'Smelter Look-up'!$J:$J,0)))</f>
        <v>#N/A</v>
      </c>
      <c r="X7" s="227">
        <f t="shared" si="3"/>
        <v>0</v>
      </c>
      <c r="AB7" s="228" t="str">
        <f t="shared" si="4"/>
        <v>TinSmelter not listed</v>
      </c>
    </row>
    <row r="8" spans="1:34" s="227" customFormat="1" ht="20.100000000000001" customHeight="1">
      <c r="A8" s="262" t="s">
        <v>15063</v>
      </c>
      <c r="B8" s="182" t="s">
        <v>1120</v>
      </c>
      <c r="C8" s="186" t="s">
        <v>15062</v>
      </c>
      <c r="D8" s="230"/>
      <c r="E8" s="182" t="s">
        <v>1095</v>
      </c>
      <c r="F8" s="182" t="s">
        <v>15063</v>
      </c>
      <c r="G8" s="182" t="s">
        <v>13217</v>
      </c>
      <c r="H8" s="183">
        <v>0</v>
      </c>
      <c r="I8" s="184" t="s">
        <v>15108</v>
      </c>
      <c r="J8" s="184" t="s">
        <v>12830</v>
      </c>
      <c r="K8" s="224"/>
      <c r="L8" s="224"/>
      <c r="M8" s="224"/>
      <c r="N8" s="224"/>
      <c r="O8" s="224"/>
      <c r="P8" s="185"/>
      <c r="Q8" s="225"/>
      <c r="R8" s="182" t="str">
        <f ca="1">IF(ISERROR($V8),"",OFFSET('Smelter Look-up'!$C$4,$V8-4,0)&amp;"")</f>
        <v>PT Aries Kencana Sejahtera</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503</v>
      </c>
      <c r="X8" s="227">
        <f t="shared" si="3"/>
        <v>0</v>
      </c>
      <c r="AB8" s="228" t="str">
        <f t="shared" si="4"/>
        <v>TinPT Aries Kencana Sejahtera</v>
      </c>
    </row>
    <row r="9" spans="1:34" s="227" customFormat="1" ht="20.100000000000001" customHeight="1">
      <c r="A9" s="262" t="s">
        <v>15859</v>
      </c>
      <c r="B9" s="182" t="s">
        <v>1120</v>
      </c>
      <c r="C9" s="186" t="s">
        <v>1834</v>
      </c>
      <c r="D9" s="230" t="s">
        <v>15860</v>
      </c>
      <c r="E9" s="182" t="s">
        <v>1095</v>
      </c>
      <c r="F9" s="182" t="s">
        <v>15859</v>
      </c>
      <c r="G9" s="182" t="s">
        <v>13217</v>
      </c>
      <c r="H9" s="183" t="s">
        <v>15857</v>
      </c>
      <c r="I9" s="184" t="s">
        <v>15109</v>
      </c>
      <c r="J9" s="184" t="s">
        <v>15858</v>
      </c>
      <c r="K9" s="224" t="s">
        <v>15861</v>
      </c>
      <c r="L9" s="224" t="s">
        <v>15862</v>
      </c>
      <c r="M9" s="224" t="s">
        <v>15863</v>
      </c>
      <c r="N9" s="224"/>
      <c r="O9" s="224"/>
      <c r="P9" s="185"/>
      <c r="Q9" s="225"/>
      <c r="R9" s="182" t="str">
        <f ca="1">IF(ISERROR($V9),"",OFFSET('Smelter Look-up'!$C$4,$V9-4,0)&amp;"")</f>
        <v/>
      </c>
      <c r="S9" s="181" t="str">
        <f t="shared" ca="1" si="2"/>
        <v>ID</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TinSmelter not listed</v>
      </c>
    </row>
    <row r="10" spans="1:34" s="227" customFormat="1" ht="20.100000000000001" customHeight="1">
      <c r="A10" s="262" t="s">
        <v>1398</v>
      </c>
      <c r="B10" s="182" t="s">
        <v>1120</v>
      </c>
      <c r="C10" s="186" t="s">
        <v>896</v>
      </c>
      <c r="D10" s="230"/>
      <c r="E10" s="182" t="s">
        <v>1098</v>
      </c>
      <c r="F10" s="182" t="s">
        <v>1398</v>
      </c>
      <c r="G10" s="182" t="s">
        <v>13217</v>
      </c>
      <c r="H10" s="183">
        <v>0</v>
      </c>
      <c r="I10" s="184" t="s">
        <v>1567</v>
      </c>
      <c r="J10" s="184" t="s">
        <v>1568</v>
      </c>
      <c r="K10" s="224"/>
      <c r="L10" s="224"/>
      <c r="M10" s="224"/>
      <c r="N10" s="224"/>
      <c r="O10" s="224"/>
      <c r="P10" s="185"/>
      <c r="Q10" s="225"/>
      <c r="R10" s="182" t="str">
        <f ca="1">IF(ISERROR($V10),"",OFFSET('Smelter Look-up'!$C$4,$V10-4,0)&amp;"")</f>
        <v>Dowa</v>
      </c>
      <c r="S10" s="181" t="str">
        <f t="shared" ca="1" si="2"/>
        <v>JP</v>
      </c>
      <c r="T10" s="181" t="str">
        <f ca="1">IF(B10="","",IF(ISERROR(MATCH($J10,SorP!$B$1:$B$6226,0)),"",INDIRECT("'SorP'!$A$"&amp;MATCH($S10&amp;$J10,SorP!C:C,0))))</f>
        <v>JP-05</v>
      </c>
      <c r="U10" s="201"/>
      <c r="V10" s="226">
        <f>IF(C10="",NA(),IF(OR(C10="Smelter not listed",C10="Smelter not yet identified"),MATCH($B10&amp;$D10,'Smelter Look-up'!$J:$J,0),MATCH($B10&amp;$C10,'Smelter Look-up'!$J:$J,0)))</f>
        <v>429</v>
      </c>
      <c r="X10" s="227">
        <f t="shared" si="3"/>
        <v>0</v>
      </c>
      <c r="AB10" s="228" t="str">
        <f t="shared" si="4"/>
        <v>TinDowa</v>
      </c>
    </row>
    <row r="11" spans="1:34" s="227" customFormat="1" ht="20.100000000000001" customHeight="1">
      <c r="A11" s="262" t="s">
        <v>759</v>
      </c>
      <c r="B11" s="182" t="s">
        <v>1120</v>
      </c>
      <c r="C11" s="186" t="s">
        <v>832</v>
      </c>
      <c r="D11" s="230" t="s">
        <v>832</v>
      </c>
      <c r="E11" s="182" t="s">
        <v>2413</v>
      </c>
      <c r="F11" s="182" t="s">
        <v>759</v>
      </c>
      <c r="G11" s="182" t="s">
        <v>13217</v>
      </c>
      <c r="H11" s="183">
        <v>0</v>
      </c>
      <c r="I11" s="184" t="s">
        <v>1755</v>
      </c>
      <c r="J11" s="184" t="s">
        <v>1755</v>
      </c>
      <c r="K11" s="224" t="s">
        <v>15864</v>
      </c>
      <c r="L11" s="224" t="s">
        <v>15865</v>
      </c>
      <c r="M11" s="224" t="s">
        <v>15866</v>
      </c>
      <c r="N11" s="224" t="s">
        <v>15867</v>
      </c>
      <c r="O11" s="224" t="s">
        <v>15868</v>
      </c>
      <c r="P11" s="185" t="s">
        <v>485</v>
      </c>
      <c r="Q11" s="225"/>
      <c r="R11" s="182" t="str">
        <f ca="1">IF(ISERROR($V11),"",OFFSET('Smelter Look-up'!$C$4,$V11-4,0)&amp;"")</f>
        <v>EM Vinto</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433</v>
      </c>
      <c r="X11" s="227">
        <f t="shared" si="3"/>
        <v>0</v>
      </c>
      <c r="AB11" s="228" t="str">
        <f t="shared" si="4"/>
        <v>TinEM Vinto</v>
      </c>
    </row>
    <row r="12" spans="1:34" s="227" customFormat="1" ht="20.100000000000001" customHeight="1">
      <c r="A12" s="262" t="s">
        <v>760</v>
      </c>
      <c r="B12" s="182" t="s">
        <v>1120</v>
      </c>
      <c r="C12" s="186" t="s">
        <v>12404</v>
      </c>
      <c r="D12" s="230"/>
      <c r="E12" s="182" t="s">
        <v>1086</v>
      </c>
      <c r="F12" s="182" t="s">
        <v>760</v>
      </c>
      <c r="G12" s="182" t="s">
        <v>13217</v>
      </c>
      <c r="H12" s="183">
        <v>0</v>
      </c>
      <c r="I12" s="184" t="s">
        <v>1752</v>
      </c>
      <c r="J12" s="184" t="s">
        <v>1756</v>
      </c>
      <c r="K12" s="224"/>
      <c r="L12" s="224"/>
      <c r="M12" s="224"/>
      <c r="N12" s="224"/>
      <c r="O12" s="224"/>
      <c r="P12" s="185"/>
      <c r="Q12" s="225"/>
      <c r="R12" s="182" t="str">
        <f ca="1">IF(ISERROR($V12),"",OFFSET('Smelter Look-up'!$C$4,$V12-4,0)&amp;"")</f>
        <v>Estanho de Rondonia S.A.</v>
      </c>
      <c r="S12" s="181" t="str">
        <f t="shared" ca="1" si="2"/>
        <v>BR</v>
      </c>
      <c r="T12" s="181" t="str">
        <f ca="1">IF(B12="","",IF(ISERROR(MATCH($J12,SorP!$B$1:$B$6226,0)),"",INDIRECT("'SorP'!$A$"&amp;MATCH($S12&amp;$J12,SorP!C:C,0))))</f>
        <v>BR-RO</v>
      </c>
      <c r="U12" s="201"/>
      <c r="V12" s="226">
        <f>IF(C12="",NA(),IF(OR(C12="Smelter not listed",C12="Smelter not yet identified"),MATCH($B12&amp;$D12,'Smelter Look-up'!$J:$J,0),MATCH($B12&amp;$C12,'Smelter Look-up'!$J:$J,0)))</f>
        <v>437</v>
      </c>
      <c r="X12" s="227">
        <f t="shared" si="3"/>
        <v>0</v>
      </c>
      <c r="AB12" s="228" t="str">
        <f t="shared" si="4"/>
        <v>TinEstanho de Rondonia S.A.</v>
      </c>
    </row>
    <row r="13" spans="1:34" s="227" customFormat="1" ht="20.100000000000001" customHeight="1">
      <c r="A13" s="262" t="s">
        <v>761</v>
      </c>
      <c r="B13" s="182" t="s">
        <v>1120</v>
      </c>
      <c r="C13" s="186" t="s">
        <v>805</v>
      </c>
      <c r="D13" s="230" t="s">
        <v>805</v>
      </c>
      <c r="E13" s="182" t="s">
        <v>872</v>
      </c>
      <c r="F13" s="182" t="s">
        <v>761</v>
      </c>
      <c r="G13" s="182" t="s">
        <v>13217</v>
      </c>
      <c r="H13" s="183">
        <v>0</v>
      </c>
      <c r="I13" s="184" t="s">
        <v>1757</v>
      </c>
      <c r="J13" s="184" t="s">
        <v>9479</v>
      </c>
      <c r="K13" s="224" t="s">
        <v>15869</v>
      </c>
      <c r="L13" s="224" t="s">
        <v>15870</v>
      </c>
      <c r="M13" s="224"/>
      <c r="N13" s="224" t="s">
        <v>15871</v>
      </c>
      <c r="O13" s="224" t="s">
        <v>15871</v>
      </c>
      <c r="P13" s="185" t="s">
        <v>484</v>
      </c>
      <c r="Q13" s="225"/>
      <c r="R13" s="182" t="str">
        <f ca="1">IF(ISERROR($V13),"",OFFSET('Smelter Look-up'!$C$4,$V13-4,0)&amp;"")</f>
        <v>Fenix Metals</v>
      </c>
      <c r="S13" s="181" t="str">
        <f t="shared" ca="1" si="2"/>
        <v>PL</v>
      </c>
      <c r="T13" s="181" t="str">
        <f ca="1">IF(B13="","",IF(ISERROR(MATCH($J13,SorP!$B$1:$B$6226,0)),"",INDIRECT("'SorP'!$A$"&amp;MATCH($S13&amp;$J13,SorP!C:C,0))))</f>
        <v>PL-18</v>
      </c>
      <c r="U13" s="201"/>
      <c r="V13" s="226">
        <f>IF(C13="",NA(),IF(OR(C13="Smelter not listed",C13="Smelter not yet identified"),MATCH($B13&amp;$D13,'Smelter Look-up'!$J:$J,0),MATCH($B13&amp;$C13,'Smelter Look-up'!$J:$J,0)))</f>
        <v>442</v>
      </c>
      <c r="X13" s="227">
        <f t="shared" si="3"/>
        <v>0</v>
      </c>
      <c r="AB13" s="228" t="str">
        <f t="shared" si="4"/>
        <v>TinFenix Metals</v>
      </c>
    </row>
    <row r="14" spans="1:34" s="227" customFormat="1" ht="20.100000000000001" customHeight="1">
      <c r="A14" s="262" t="s">
        <v>762</v>
      </c>
      <c r="B14" s="182" t="s">
        <v>1120</v>
      </c>
      <c r="C14" s="186" t="s">
        <v>2128</v>
      </c>
      <c r="D14" s="230"/>
      <c r="E14" s="182" t="s">
        <v>1090</v>
      </c>
      <c r="F14" s="182" t="s">
        <v>762</v>
      </c>
      <c r="G14" s="182" t="s">
        <v>13217</v>
      </c>
      <c r="H14" s="183">
        <v>0</v>
      </c>
      <c r="I14" s="184" t="s">
        <v>2429</v>
      </c>
      <c r="J14" s="184" t="s">
        <v>13605</v>
      </c>
      <c r="K14" s="224"/>
      <c r="L14" s="224"/>
      <c r="M14" s="224"/>
      <c r="N14" s="224"/>
      <c r="O14" s="224"/>
      <c r="P14" s="185"/>
      <c r="Q14" s="225"/>
      <c r="R14" s="182" t="str">
        <f ca="1">IF(ISERROR($V14),"",OFFSET('Smelter Look-up'!$C$4,$V14-4,0)&amp;"")</f>
        <v>Gejiu Non-Ferrous Metal Processing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448</v>
      </c>
      <c r="X14" s="227">
        <f t="shared" si="3"/>
        <v>0</v>
      </c>
      <c r="AB14" s="228" t="str">
        <f t="shared" si="4"/>
        <v>TinGejiu Non-Ferrous Metal Processing Co., Ltd.</v>
      </c>
    </row>
    <row r="15" spans="1:34" s="227" customFormat="1" ht="20.100000000000001" customHeight="1">
      <c r="A15" s="262" t="s">
        <v>763</v>
      </c>
      <c r="B15" s="182" t="s">
        <v>1120</v>
      </c>
      <c r="C15" s="186" t="s">
        <v>1758</v>
      </c>
      <c r="D15" s="230"/>
      <c r="E15" s="182" t="s">
        <v>1090</v>
      </c>
      <c r="F15" s="182" t="s">
        <v>763</v>
      </c>
      <c r="G15" s="182" t="s">
        <v>13217</v>
      </c>
      <c r="H15" s="183">
        <v>0</v>
      </c>
      <c r="I15" s="184" t="s">
        <v>2429</v>
      </c>
      <c r="J15" s="184" t="s">
        <v>13605</v>
      </c>
      <c r="K15" s="224"/>
      <c r="L15" s="224"/>
      <c r="M15" s="224"/>
      <c r="N15" s="224"/>
      <c r="O15" s="224"/>
      <c r="P15" s="185"/>
      <c r="Q15" s="225"/>
      <c r="R15" s="182" t="str">
        <f ca="1">IF(ISERROR($V15),"",OFFSET('Smelter Look-up'!$C$4,$V15-4,0)&amp;"")</f>
        <v>Gejiu Zili Mining And Metallurgy Co., Ltd.</v>
      </c>
      <c r="S15" s="181" t="str">
        <f t="shared" ca="1" si="2"/>
        <v>CN</v>
      </c>
      <c r="T15" s="181" t="str">
        <f ca="1">IF(B15="","",IF(ISERROR(MATCH($J15,SorP!$B$1:$B$6226,0)),"",INDIRECT("'SorP'!$A$"&amp;MATCH($S15&amp;$J15,SorP!C:C,0))))</f>
        <v>CN-YN</v>
      </c>
      <c r="U15" s="201"/>
      <c r="V15" s="226">
        <f>IF(C15="",NA(),IF(OR(C15="Smelter not listed",C15="Smelter not yet identified"),MATCH($B15&amp;$D15,'Smelter Look-up'!$J:$J,0),MATCH($B15&amp;$C15,'Smelter Look-up'!$J:$J,0)))</f>
        <v>451</v>
      </c>
      <c r="X15" s="227">
        <f t="shared" si="3"/>
        <v>0</v>
      </c>
      <c r="AB15" s="228" t="str">
        <f t="shared" si="4"/>
        <v>TinGejiu Zili Mining And Metallurgy Co., Ltd.</v>
      </c>
    </row>
    <row r="16" spans="1:34" s="227" customFormat="1" ht="20.100000000000001" customHeight="1">
      <c r="A16" s="262" t="s">
        <v>15872</v>
      </c>
      <c r="B16" s="182" t="s">
        <v>1120</v>
      </c>
      <c r="C16" s="186" t="s">
        <v>1834</v>
      </c>
      <c r="D16" s="230" t="s">
        <v>15873</v>
      </c>
      <c r="E16" s="182" t="s">
        <v>1090</v>
      </c>
      <c r="F16" s="182" t="s">
        <v>15872</v>
      </c>
      <c r="G16" s="182" t="s">
        <v>13217</v>
      </c>
      <c r="H16" s="183" t="s">
        <v>15857</v>
      </c>
      <c r="I16" s="184" t="s">
        <v>1759</v>
      </c>
      <c r="J16" s="184" t="s">
        <v>15874</v>
      </c>
      <c r="K16" s="224"/>
      <c r="L16" s="224"/>
      <c r="M16" s="224"/>
      <c r="N16" s="224"/>
      <c r="O16" s="224"/>
      <c r="P16" s="185"/>
      <c r="Q16" s="225"/>
      <c r="R16" s="182" t="str">
        <f ca="1">IF(ISERROR($V16),"",OFFSET('Smelter Look-up'!$C$4,$V16-4,0)&amp;"")</f>
        <v/>
      </c>
      <c r="S16" s="181" t="str">
        <f t="shared" ca="1" si="2"/>
        <v>CN</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si="3"/>
        <v>0</v>
      </c>
      <c r="AB16" s="228" t="str">
        <f t="shared" si="4"/>
        <v>TinSmelter not listed</v>
      </c>
    </row>
    <row r="17" spans="1:28" s="227" customFormat="1" ht="20.100000000000001" customHeight="1">
      <c r="A17" s="262" t="s">
        <v>764</v>
      </c>
      <c r="B17" s="182" t="s">
        <v>1120</v>
      </c>
      <c r="C17" s="186" t="s">
        <v>1413</v>
      </c>
      <c r="D17" s="230"/>
      <c r="E17" s="182" t="s">
        <v>1090</v>
      </c>
      <c r="F17" s="182" t="s">
        <v>764</v>
      </c>
      <c r="G17" s="182" t="s">
        <v>13217</v>
      </c>
      <c r="H17" s="183">
        <v>0</v>
      </c>
      <c r="I17" s="184" t="s">
        <v>2429</v>
      </c>
      <c r="J17" s="184" t="s">
        <v>13605</v>
      </c>
      <c r="K17" s="224"/>
      <c r="L17" s="224"/>
      <c r="M17" s="224"/>
      <c r="N17" s="224"/>
      <c r="O17" s="224"/>
      <c r="P17" s="185"/>
      <c r="Q17" s="225"/>
      <c r="R17" s="182" t="str">
        <f ca="1">IF(ISERROR($V17),"",OFFSET('Smelter Look-up'!$C$4,$V17-4,0)&amp;"")</f>
        <v>Gejiu Kai Meng Industry and Trade LLC</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447</v>
      </c>
      <c r="X17" s="227">
        <f t="shared" si="3"/>
        <v>0</v>
      </c>
      <c r="AB17" s="228" t="str">
        <f t="shared" si="4"/>
        <v>TinGejiu Kai Meng Industry and Trade LLC</v>
      </c>
    </row>
    <row r="18" spans="1:28" s="227" customFormat="1" ht="20.100000000000001" customHeight="1">
      <c r="A18" s="262" t="s">
        <v>765</v>
      </c>
      <c r="B18" s="182" t="s">
        <v>1120</v>
      </c>
      <c r="C18" s="186" t="s">
        <v>1315</v>
      </c>
      <c r="D18" s="230" t="s">
        <v>1315</v>
      </c>
      <c r="E18" s="182" t="s">
        <v>1090</v>
      </c>
      <c r="F18" s="182" t="s">
        <v>765</v>
      </c>
      <c r="G18" s="182" t="s">
        <v>13217</v>
      </c>
      <c r="H18" s="183">
        <v>0</v>
      </c>
      <c r="I18" s="184" t="s">
        <v>1761</v>
      </c>
      <c r="J18" s="184" t="s">
        <v>13580</v>
      </c>
      <c r="K18" s="224" t="s">
        <v>15875</v>
      </c>
      <c r="L18" s="224" t="s">
        <v>15876</v>
      </c>
      <c r="M18" s="224" t="s">
        <v>15877</v>
      </c>
      <c r="N18" s="224" t="s">
        <v>15878</v>
      </c>
      <c r="O18" s="224" t="s">
        <v>15879</v>
      </c>
      <c r="P18" s="185" t="s">
        <v>485</v>
      </c>
      <c r="Q18" s="225"/>
      <c r="R18" s="182" t="str">
        <f ca="1">IF(ISERROR($V18),"",OFFSET('Smelter Look-up'!$C$4,$V18-4,0)&amp;"")</f>
        <v>China Tin Group Co., Ltd.</v>
      </c>
      <c r="S18" s="181" t="str">
        <f t="shared" ca="1" si="2"/>
        <v>CN</v>
      </c>
      <c r="T18" s="181" t="str">
        <f ca="1">IF(B18="","",IF(ISERROR(MATCH($J18,SorP!$B$1:$B$6226,0)),"",INDIRECT("'SorP'!$A$"&amp;MATCH($S18&amp;$J18,SorP!C:C,0))))</f>
        <v>CN-GX</v>
      </c>
      <c r="U18" s="201"/>
      <c r="V18" s="226">
        <f>IF(C18="",NA(),IF(OR(C18="Smelter not listed",C18="Smelter not yet identified"),MATCH($B18&amp;$D18,'Smelter Look-up'!$J:$J,0),MATCH($B18&amp;$C18,'Smelter Look-up'!$J:$J,0)))</f>
        <v>414</v>
      </c>
      <c r="X18" s="227">
        <f t="shared" si="3"/>
        <v>0</v>
      </c>
      <c r="AB18" s="228" t="str">
        <f t="shared" si="4"/>
        <v>TinChina Tin Group Co., Ltd.</v>
      </c>
    </row>
    <row r="19" spans="1:28" s="227" customFormat="1" ht="76.5">
      <c r="A19" s="262" t="s">
        <v>766</v>
      </c>
      <c r="B19" s="182" t="s">
        <v>1120</v>
      </c>
      <c r="C19" s="186" t="s">
        <v>811</v>
      </c>
      <c r="D19" s="230" t="s">
        <v>811</v>
      </c>
      <c r="E19" s="182" t="s">
        <v>1105</v>
      </c>
      <c r="F19" s="182" t="s">
        <v>766</v>
      </c>
      <c r="G19" s="182" t="s">
        <v>13217</v>
      </c>
      <c r="H19" s="183" t="s">
        <v>15880</v>
      </c>
      <c r="I19" s="184" t="s">
        <v>1766</v>
      </c>
      <c r="J19" s="184" t="s">
        <v>8666</v>
      </c>
      <c r="K19" s="224" t="s">
        <v>15881</v>
      </c>
      <c r="L19" s="224" t="s">
        <v>15882</v>
      </c>
      <c r="M19" s="224"/>
      <c r="N19" s="224" t="s">
        <v>15883</v>
      </c>
      <c r="O19" s="224" t="s">
        <v>15884</v>
      </c>
      <c r="P19" s="185" t="s">
        <v>485</v>
      </c>
      <c r="Q19" s="225"/>
      <c r="R19" s="182" t="str">
        <f ca="1">IF(ISERROR($V19),"",OFFSET('Smelter Look-up'!$C$4,$V19-4,0)&amp;"")</f>
        <v>Malaysia Smelting Corporation (MSC)</v>
      </c>
      <c r="S19" s="181" t="str">
        <f t="shared" ca="1" si="2"/>
        <v>MY</v>
      </c>
      <c r="T19" s="181" t="str">
        <f ca="1">IF(B19="","",IF(ISERROR(MATCH($J19,SorP!$B$1:$B$6226,0)),"",INDIRECT("'SorP'!$A$"&amp;MATCH($S19&amp;$J19,SorP!C:C,0))))</f>
        <v>MY-07</v>
      </c>
      <c r="U19" s="201"/>
      <c r="V19" s="226">
        <f>IF(C19="",NA(),IF(OR(C19="Smelter not listed",C19="Smelter not yet identified"),MATCH($B19&amp;$D19,'Smelter Look-up'!$J:$J,0),MATCH($B19&amp;$C19,'Smelter Look-up'!$J:$J,0)))</f>
        <v>474</v>
      </c>
      <c r="X19" s="227">
        <f t="shared" si="3"/>
        <v>0</v>
      </c>
      <c r="AB19" s="228" t="str">
        <f t="shared" si="4"/>
        <v>TinMalaysia Smelting Corporation (MSC)</v>
      </c>
    </row>
    <row r="20" spans="1:28" s="227" customFormat="1" ht="51">
      <c r="A20" s="181" t="s">
        <v>1767</v>
      </c>
      <c r="B20" s="182" t="s">
        <v>1120</v>
      </c>
      <c r="C20" s="186" t="s">
        <v>2133</v>
      </c>
      <c r="D20" s="230"/>
      <c r="E20" s="182" t="s">
        <v>2415</v>
      </c>
      <c r="F20" s="182" t="s">
        <v>1767</v>
      </c>
      <c r="G20" s="182" t="s">
        <v>13217</v>
      </c>
      <c r="H20" s="183">
        <v>0</v>
      </c>
      <c r="I20" s="184" t="s">
        <v>1768</v>
      </c>
      <c r="J20" s="184" t="s">
        <v>1627</v>
      </c>
      <c r="K20" s="224"/>
      <c r="L20" s="224"/>
      <c r="M20" s="224"/>
      <c r="N20" s="224"/>
      <c r="O20" s="224"/>
      <c r="P20" s="185"/>
      <c r="Q20" s="225"/>
      <c r="R20" s="182" t="str">
        <f ca="1">IF(ISERROR($V20),"",OFFSET('Smelter Look-up'!$C$4,$V20-4,0)&amp;"")</f>
        <v>Metallic Resources, Inc.</v>
      </c>
      <c r="S20" s="181" t="str">
        <f t="shared" ca="1" si="2"/>
        <v>US</v>
      </c>
      <c r="T20" s="181" t="str">
        <f ca="1">IF(B20="","",IF(ISERROR(MATCH($J20,SorP!$B$1:$B$6226,0)),"",INDIRECT("'SorP'!$A$"&amp;MATCH($S20&amp;$J20,SorP!C:C,0))))</f>
        <v>US-OH</v>
      </c>
      <c r="U20" s="201"/>
      <c r="V20" s="226">
        <f>IF(C20="",NA(),IF(OR(C20="Smelter not listed",C20="Smelter not yet identified"),MATCH($B20&amp;$D20,'Smelter Look-up'!$J:$J,0),MATCH($B20&amp;$C20,'Smelter Look-up'!$J:$J,0)))</f>
        <v>479</v>
      </c>
      <c r="X20" s="227">
        <f t="shared" si="3"/>
        <v>0</v>
      </c>
      <c r="AB20" s="228" t="str">
        <f t="shared" si="4"/>
        <v>TinMetallic Resources, Inc.</v>
      </c>
    </row>
    <row r="21" spans="1:28" s="227" customFormat="1" ht="51">
      <c r="A21" s="262" t="s">
        <v>767</v>
      </c>
      <c r="B21" s="182" t="s">
        <v>1120</v>
      </c>
      <c r="C21" s="186" t="s">
        <v>12408</v>
      </c>
      <c r="D21" s="230"/>
      <c r="E21" s="182" t="s">
        <v>1086</v>
      </c>
      <c r="F21" s="182" t="s">
        <v>767</v>
      </c>
      <c r="G21" s="182" t="s">
        <v>13217</v>
      </c>
      <c r="H21" s="183">
        <v>0</v>
      </c>
      <c r="I21" s="184" t="s">
        <v>1769</v>
      </c>
      <c r="J21" s="184" t="s">
        <v>1666</v>
      </c>
      <c r="K21" s="224"/>
      <c r="L21" s="224"/>
      <c r="M21" s="224"/>
      <c r="N21" s="224"/>
      <c r="O21" s="224"/>
      <c r="P21" s="185"/>
      <c r="Q21" s="225"/>
      <c r="R21" s="182" t="str">
        <f ca="1">IF(ISERROR($V21),"",OFFSET('Smelter Look-up'!$C$4,$V21-4,0)&amp;"")</f>
        <v>Mineracao Taboca S.A.</v>
      </c>
      <c r="S21" s="181" t="str">
        <f t="shared" ca="1" si="2"/>
        <v>BR</v>
      </c>
      <c r="T21" s="181" t="str">
        <f ca="1">IF(B21="","",IF(ISERROR(MATCH($J21,SorP!$B$1:$B$6226,0)),"",INDIRECT("'SorP'!$A$"&amp;MATCH($S21&amp;$J21,SorP!C:C,0))))</f>
        <v>BR-SP</v>
      </c>
      <c r="U21" s="201"/>
      <c r="V21" s="226">
        <f>IF(C21="",NA(),IF(OR(C21="Smelter not listed",C21="Smelter not yet identified"),MATCH($B21&amp;$D21,'Smelter Look-up'!$J:$J,0),MATCH($B21&amp;$C21,'Smelter Look-up'!$J:$J,0)))</f>
        <v>482</v>
      </c>
      <c r="X21" s="227">
        <f t="shared" si="3"/>
        <v>0</v>
      </c>
      <c r="AB21" s="228" t="str">
        <f t="shared" si="4"/>
        <v>TinMineracao Taboca S.A.</v>
      </c>
    </row>
    <row r="22" spans="1:28" s="227" customFormat="1" ht="25.5">
      <c r="A22" s="262" t="s">
        <v>768</v>
      </c>
      <c r="B22" s="182" t="s">
        <v>1120</v>
      </c>
      <c r="C22" s="186" t="s">
        <v>1024</v>
      </c>
      <c r="D22" s="230" t="s">
        <v>1024</v>
      </c>
      <c r="E22" s="182" t="s">
        <v>870</v>
      </c>
      <c r="F22" s="182" t="s">
        <v>768</v>
      </c>
      <c r="G22" s="182" t="s">
        <v>13217</v>
      </c>
      <c r="H22" s="183">
        <v>0</v>
      </c>
      <c r="I22" s="184" t="s">
        <v>1771</v>
      </c>
      <c r="J22" s="184" t="s">
        <v>9093</v>
      </c>
      <c r="K22" s="224" t="s">
        <v>15885</v>
      </c>
      <c r="L22" s="224" t="s">
        <v>15886</v>
      </c>
      <c r="M22" s="224" t="s">
        <v>15866</v>
      </c>
      <c r="N22" s="224" t="s">
        <v>15887</v>
      </c>
      <c r="O22" s="224" t="s">
        <v>15888</v>
      </c>
      <c r="P22" s="185" t="s">
        <v>485</v>
      </c>
      <c r="Q22" s="225"/>
      <c r="R22" s="182" t="str">
        <f ca="1">IF(ISERROR($V22),"",OFFSET('Smelter Look-up'!$C$4,$V22-4,0)&amp;"")</f>
        <v>Minsur</v>
      </c>
      <c r="S22" s="181" t="str">
        <f t="shared" ca="1" si="2"/>
        <v>PE</v>
      </c>
      <c r="T22" s="181" t="str">
        <f ca="1">IF(B22="","",IF(ISERROR(MATCH($J22,SorP!$B$1:$B$6226,0)),"",INDIRECT("'SorP'!$A$"&amp;MATCH($S22&amp;$J22,SorP!C:C,0))))</f>
        <v>PE-ICA</v>
      </c>
      <c r="U22" s="201"/>
      <c r="V22" s="226">
        <f>IF(C22="",NA(),IF(OR(C22="Smelter not listed",C22="Smelter not yet identified"),MATCH($B22&amp;$D22,'Smelter Look-up'!$J:$J,0),MATCH($B22&amp;$C22,'Smelter Look-up'!$J:$J,0)))</f>
        <v>487</v>
      </c>
      <c r="X22" s="227">
        <f t="shared" si="3"/>
        <v>0</v>
      </c>
      <c r="AB22" s="228" t="str">
        <f t="shared" si="4"/>
        <v>TinMinsur</v>
      </c>
    </row>
    <row r="23" spans="1:28" s="227" customFormat="1" ht="76.5">
      <c r="A23" s="181" t="s">
        <v>769</v>
      </c>
      <c r="B23" s="182" t="s">
        <v>1120</v>
      </c>
      <c r="C23" s="186" t="s">
        <v>1153</v>
      </c>
      <c r="D23" s="230"/>
      <c r="E23" s="182" t="s">
        <v>1098</v>
      </c>
      <c r="F23" s="182" t="s">
        <v>769</v>
      </c>
      <c r="G23" s="182" t="s">
        <v>13217</v>
      </c>
      <c r="H23" s="183">
        <v>0</v>
      </c>
      <c r="I23" s="184" t="s">
        <v>1534</v>
      </c>
      <c r="J23" s="184" t="s">
        <v>1534</v>
      </c>
      <c r="K23" s="224"/>
      <c r="L23" s="224"/>
      <c r="M23" s="224"/>
      <c r="N23" s="224"/>
      <c r="O23" s="224"/>
      <c r="P23" s="185"/>
      <c r="Q23" s="225"/>
      <c r="R23" s="182" t="str">
        <f ca="1">IF(ISERROR($V23),"",OFFSET('Smelter Look-up'!$C$4,$V23-4,0)&amp;"")</f>
        <v>Mitsubishi Materials Corporation</v>
      </c>
      <c r="S23" s="181" t="str">
        <f t="shared" ca="1" si="2"/>
        <v>JP</v>
      </c>
      <c r="T23" s="181" t="str">
        <f ca="1">IF(B23="","",IF(ISERROR(MATCH($J23,SorP!$B$1:$B$6226,0)),"",INDIRECT("'SorP'!$A$"&amp;MATCH($S23&amp;$J23,SorP!C:C,0))))</f>
        <v>JP-13</v>
      </c>
      <c r="U23" s="201"/>
      <c r="V23" s="226">
        <f>IF(C23="",NA(),IF(OR(C23="Smelter not listed",C23="Smelter not yet identified"),MATCH($B23&amp;$D23,'Smelter Look-up'!$J:$J,0),MATCH($B23&amp;$C23,'Smelter Look-up'!$J:$J,0)))</f>
        <v>488</v>
      </c>
      <c r="X23" s="227">
        <f t="shared" si="3"/>
        <v>0</v>
      </c>
      <c r="AB23" s="228" t="str">
        <f t="shared" si="4"/>
        <v>TinMitsubishi Materials Corporation</v>
      </c>
    </row>
    <row r="24" spans="1:28" s="227" customFormat="1" ht="63.75">
      <c r="A24" s="181" t="s">
        <v>1774</v>
      </c>
      <c r="B24" s="182" t="s">
        <v>1120</v>
      </c>
      <c r="C24" s="186" t="s">
        <v>13158</v>
      </c>
      <c r="D24" s="230"/>
      <c r="E24" s="182" t="s">
        <v>1090</v>
      </c>
      <c r="F24" s="182" t="s">
        <v>1774</v>
      </c>
      <c r="G24" s="182" t="s">
        <v>13217</v>
      </c>
      <c r="H24" s="183">
        <v>0</v>
      </c>
      <c r="I24" s="184" t="s">
        <v>1759</v>
      </c>
      <c r="J24" s="184" t="s">
        <v>13596</v>
      </c>
      <c r="K24" s="224"/>
      <c r="L24" s="224"/>
      <c r="M24" s="224"/>
      <c r="N24" s="224"/>
      <c r="O24" s="224"/>
      <c r="P24" s="185"/>
      <c r="Q24" s="225"/>
      <c r="R24" s="182" t="str">
        <f ca="1">IF(ISERROR($V24),"",OFFSET('Smelter Look-up'!$C$4,$V24-4,0)&amp;"")</f>
        <v>Jiangxi New Nanshan Technology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464</v>
      </c>
      <c r="X24" s="227">
        <f t="shared" si="3"/>
        <v>0</v>
      </c>
      <c r="AB24" s="228" t="str">
        <f t="shared" si="4"/>
        <v>TinJiangxi New Nanshan Technology Ltd.</v>
      </c>
    </row>
    <row r="25" spans="1:28" s="227" customFormat="1" ht="76.5">
      <c r="A25" s="181" t="s">
        <v>771</v>
      </c>
      <c r="B25" s="182" t="s">
        <v>1120</v>
      </c>
      <c r="C25" s="186" t="s">
        <v>770</v>
      </c>
      <c r="D25" s="230"/>
      <c r="E25" s="182" t="s">
        <v>878</v>
      </c>
      <c r="F25" s="182" t="s">
        <v>771</v>
      </c>
      <c r="G25" s="182" t="s">
        <v>13217</v>
      </c>
      <c r="H25" s="183">
        <v>0</v>
      </c>
      <c r="I25" s="184" t="s">
        <v>2323</v>
      </c>
      <c r="J25" s="184" t="s">
        <v>11003</v>
      </c>
      <c r="K25" s="224"/>
      <c r="L25" s="224"/>
      <c r="M25" s="224"/>
      <c r="N25" s="224"/>
      <c r="O25" s="224"/>
      <c r="P25" s="185"/>
      <c r="Q25" s="225"/>
      <c r="R25" s="182" t="str">
        <f ca="1">IF(ISERROR($V25),"",OFFSET('Smelter Look-up'!$C$4,$V25-4,0)&amp;"")</f>
        <v>O.M. Manufacturing (Thailand) Co., Ltd.</v>
      </c>
      <c r="S25" s="181" t="str">
        <f t="shared" ca="1" si="2"/>
        <v>TH</v>
      </c>
      <c r="T25" s="181" t="str">
        <f ca="1">IF(B25="","",IF(ISERROR(MATCH($J25,SorP!$B$1:$B$6226,0)),"",INDIRECT("'SorP'!$A$"&amp;MATCH($S25&amp;$J25,SorP!C:C,0))))</f>
        <v>TH-20</v>
      </c>
      <c r="U25" s="201"/>
      <c r="V25" s="226">
        <f>IF(C25="",NA(),IF(OR(C25="Smelter not listed",C25="Smelter not yet identified"),MATCH($B25&amp;$D25,'Smelter Look-up'!$J:$J,0),MATCH($B25&amp;$C25,'Smelter Look-up'!$J:$J,0)))</f>
        <v>496</v>
      </c>
      <c r="X25" s="227">
        <f t="shared" si="3"/>
        <v>0</v>
      </c>
      <c r="AB25" s="228" t="str">
        <f t="shared" si="4"/>
        <v>TinO.M. Manufacturing (Thailand) Co., Ltd.</v>
      </c>
    </row>
    <row r="26" spans="1:28" s="227" customFormat="1" ht="63.75">
      <c r="A26" s="262" t="s">
        <v>772</v>
      </c>
      <c r="B26" s="182" t="s">
        <v>1120</v>
      </c>
      <c r="C26" s="186" t="s">
        <v>13780</v>
      </c>
      <c r="D26" s="230" t="s">
        <v>13780</v>
      </c>
      <c r="E26" s="182" t="s">
        <v>2413</v>
      </c>
      <c r="F26" s="182" t="s">
        <v>772</v>
      </c>
      <c r="G26" s="182" t="s">
        <v>13217</v>
      </c>
      <c r="H26" s="183">
        <v>0</v>
      </c>
      <c r="I26" s="184" t="s">
        <v>1755</v>
      </c>
      <c r="J26" s="184" t="s">
        <v>1755</v>
      </c>
      <c r="K26" s="224" t="s">
        <v>15889</v>
      </c>
      <c r="L26" s="224" t="s">
        <v>15890</v>
      </c>
      <c r="M26" s="224" t="s">
        <v>15866</v>
      </c>
      <c r="N26" s="224" t="s">
        <v>15891</v>
      </c>
      <c r="O26" s="224" t="s">
        <v>15892</v>
      </c>
      <c r="P26" s="185" t="s">
        <v>485</v>
      </c>
      <c r="Q26" s="225"/>
      <c r="R26" s="182" t="str">
        <f ca="1">IF(ISERROR($V26),"",OFFSET('Smelter Look-up'!$C$4,$V26-4,0)&amp;"")</f>
        <v>Operaciones Metalurgicas S.A.</v>
      </c>
      <c r="S26" s="181" t="str">
        <f t="shared" ca="1" si="2"/>
        <v>BO</v>
      </c>
      <c r="T26" s="181" t="str">
        <f ca="1">IF(B26="","",IF(ISERROR(MATCH($J26,SorP!$B$1:$B$6226,0)),"",INDIRECT("'SorP'!$A$"&amp;MATCH($S26&amp;$J26,SorP!C:C,0))))</f>
        <v>BO-O</v>
      </c>
      <c r="U26" s="201"/>
      <c r="V26" s="226">
        <f>IF(C26="",NA(),IF(OR(C26="Smelter not listed",C26="Smelter not yet identified"),MATCH($B26&amp;$D26,'Smelter Look-up'!$J:$J,0),MATCH($B26&amp;$C26,'Smelter Look-up'!$J:$J,0)))</f>
        <v>499</v>
      </c>
      <c r="X26" s="227">
        <f t="shared" si="3"/>
        <v>0</v>
      </c>
      <c r="AB26" s="228" t="str">
        <f t="shared" si="4"/>
        <v>TinOperaciones Metalurgicas S.A.</v>
      </c>
    </row>
    <row r="27" spans="1:28" s="227" customFormat="1" ht="63.75">
      <c r="A27" s="181" t="s">
        <v>773</v>
      </c>
      <c r="B27" s="182" t="s">
        <v>1120</v>
      </c>
      <c r="C27" s="186" t="s">
        <v>834</v>
      </c>
      <c r="D27" s="230"/>
      <c r="E27" s="182" t="s">
        <v>1095</v>
      </c>
      <c r="F27" s="182" t="s">
        <v>773</v>
      </c>
      <c r="G27" s="182" t="s">
        <v>13217</v>
      </c>
      <c r="H27" s="183">
        <v>0</v>
      </c>
      <c r="I27" s="184" t="s">
        <v>1753</v>
      </c>
      <c r="J27" s="184" t="s">
        <v>12830</v>
      </c>
      <c r="K27" s="224"/>
      <c r="L27" s="224"/>
      <c r="M27" s="224"/>
      <c r="N27" s="224"/>
      <c r="O27" s="224"/>
      <c r="P27" s="185"/>
      <c r="Q27" s="225"/>
      <c r="R27" s="182" t="str">
        <f ca="1">IF(ISERROR($V27),"",OFFSET('Smelter Look-up'!$C$4,$V27-4,0)&amp;"")</f>
        <v>PT Artha Cipta Langgeng</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504</v>
      </c>
      <c r="X27" s="227">
        <f t="shared" si="3"/>
        <v>0</v>
      </c>
      <c r="AB27" s="228" t="str">
        <f t="shared" si="4"/>
        <v>TinPT Artha Cipta Langgeng</v>
      </c>
    </row>
    <row r="28" spans="1:28" s="227" customFormat="1" ht="51">
      <c r="A28" s="181" t="s">
        <v>15443</v>
      </c>
      <c r="B28" s="182" t="s">
        <v>1120</v>
      </c>
      <c r="C28" s="186" t="s">
        <v>15442</v>
      </c>
      <c r="D28" s="230"/>
      <c r="E28" s="182" t="s">
        <v>1095</v>
      </c>
      <c r="F28" s="182" t="s">
        <v>15443</v>
      </c>
      <c r="G28" s="182" t="s">
        <v>13217</v>
      </c>
      <c r="H28" s="183">
        <v>0</v>
      </c>
      <c r="I28" s="184" t="s">
        <v>15444</v>
      </c>
      <c r="J28" s="184" t="s">
        <v>12830</v>
      </c>
      <c r="K28" s="224"/>
      <c r="L28" s="224"/>
      <c r="M28" s="224"/>
      <c r="N28" s="224"/>
      <c r="O28" s="224"/>
      <c r="P28" s="185"/>
      <c r="Q28" s="225"/>
      <c r="R28" s="182" t="str">
        <f ca="1">IF(ISERROR($V28),"",OFFSET('Smelter Look-up'!$C$4,$V28-4,0)&amp;"")</f>
        <v>PT Babel Inti Perkasa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506</v>
      </c>
      <c r="X28" s="227">
        <f t="shared" si="3"/>
        <v>0</v>
      </c>
      <c r="AB28" s="228" t="str">
        <f t="shared" si="4"/>
        <v>TinPT Babel Inti Perkasa</v>
      </c>
    </row>
    <row r="29" spans="1:28" s="227" customFormat="1" ht="63.75">
      <c r="A29" s="181" t="s">
        <v>15076</v>
      </c>
      <c r="B29" s="182" t="s">
        <v>1120</v>
      </c>
      <c r="C29" s="186" t="s">
        <v>15075</v>
      </c>
      <c r="D29" s="230"/>
      <c r="E29" s="182" t="s">
        <v>1095</v>
      </c>
      <c r="F29" s="182" t="s">
        <v>15076</v>
      </c>
      <c r="G29" s="182" t="s">
        <v>13217</v>
      </c>
      <c r="H29" s="183">
        <v>0</v>
      </c>
      <c r="I29" s="184" t="s">
        <v>15112</v>
      </c>
      <c r="J29" s="184" t="s">
        <v>12830</v>
      </c>
      <c r="K29" s="224"/>
      <c r="L29" s="224"/>
      <c r="M29" s="224"/>
      <c r="N29" s="224"/>
      <c r="O29" s="224"/>
      <c r="P29" s="185"/>
      <c r="Q29" s="225"/>
      <c r="R29" s="182" t="str">
        <f ca="1">IF(ISERROR($V29),"",OFFSET('Smelter Look-up'!$C$4,$V29-4,0)&amp;"")</f>
        <v>PT Babel Surya Alam Lestari</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507</v>
      </c>
      <c r="X29" s="227">
        <f t="shared" si="3"/>
        <v>0</v>
      </c>
      <c r="AB29" s="228" t="str">
        <f t="shared" si="4"/>
        <v>TinPT Babel Surya Alam Lestari</v>
      </c>
    </row>
    <row r="30" spans="1:28" s="227" customFormat="1" ht="38.25">
      <c r="A30" s="181" t="s">
        <v>15509</v>
      </c>
      <c r="B30" s="182" t="s">
        <v>1120</v>
      </c>
      <c r="C30" s="186" t="s">
        <v>1834</v>
      </c>
      <c r="D30" s="230" t="s">
        <v>15508</v>
      </c>
      <c r="E30" s="182" t="s">
        <v>1095</v>
      </c>
      <c r="F30" s="182" t="s">
        <v>15509</v>
      </c>
      <c r="G30" s="182" t="s">
        <v>13217</v>
      </c>
      <c r="H30" s="183" t="s">
        <v>15857</v>
      </c>
      <c r="I30" s="184" t="s">
        <v>1753</v>
      </c>
      <c r="J30" s="184" t="s">
        <v>15858</v>
      </c>
      <c r="K30" s="224"/>
      <c r="L30" s="224"/>
      <c r="M30" s="224"/>
      <c r="N30" s="224"/>
      <c r="O30" s="224"/>
      <c r="P30" s="185"/>
      <c r="Q30" s="225"/>
      <c r="R30" s="182" t="str">
        <f ca="1">IF(ISERROR($V30),"",OFFSET('Smelter Look-up'!$C$4,$V30-4,0)&amp;"")</f>
        <v>PT Bangka Tin Industry</v>
      </c>
      <c r="S30" s="181" t="str">
        <f t="shared" ca="1" si="2"/>
        <v>ID</v>
      </c>
      <c r="T30" s="181" t="str">
        <f ca="1">IF(B30="","",IF(ISERROR(MATCH($J30,SorP!$B$1:$B$6226,0)),"",INDIRECT("'SorP'!$A$"&amp;MATCH($S30&amp;$J30,SorP!C:C,0))))</f>
        <v/>
      </c>
      <c r="U30" s="201"/>
      <c r="V30" s="226">
        <f>IF(C30="",NA(),IF(OR(C30="Smelter not listed",C30="Smelter not yet identified"),MATCH($B30&amp;$D30,'Smelter Look-up'!$J:$J,0),MATCH($B30&amp;$C30,'Smelter Look-up'!$J:$J,0)))</f>
        <v>510</v>
      </c>
      <c r="X30" s="227">
        <f t="shared" si="3"/>
        <v>0</v>
      </c>
      <c r="AB30" s="228" t="str">
        <f t="shared" si="4"/>
        <v>TinSmelter not listed</v>
      </c>
    </row>
    <row r="31" spans="1:28" s="227" customFormat="1" ht="63.75">
      <c r="A31" s="181" t="s">
        <v>15446</v>
      </c>
      <c r="B31" s="182" t="s">
        <v>1120</v>
      </c>
      <c r="C31" s="186" t="s">
        <v>15445</v>
      </c>
      <c r="D31" s="230"/>
      <c r="E31" s="182" t="s">
        <v>1095</v>
      </c>
      <c r="F31" s="182" t="s">
        <v>15446</v>
      </c>
      <c r="G31" s="182" t="s">
        <v>13217</v>
      </c>
      <c r="H31" s="183">
        <v>0</v>
      </c>
      <c r="I31" s="184" t="s">
        <v>15893</v>
      </c>
      <c r="J31" s="184" t="s">
        <v>12830</v>
      </c>
      <c r="K31" s="224"/>
      <c r="L31" s="224"/>
      <c r="M31" s="224"/>
      <c r="N31" s="224"/>
      <c r="O31" s="224"/>
      <c r="P31" s="185"/>
      <c r="Q31" s="225"/>
      <c r="R31" s="182" t="str">
        <f ca="1">IF(ISERROR($V31),"",OFFSET('Smelter Look-up'!$C$4,$V31-4,0)&amp;"")</f>
        <v>PT Belitung Industri Sejahtera</v>
      </c>
      <c r="S31" s="181" t="str">
        <f t="shared" ca="1" si="2"/>
        <v>ID</v>
      </c>
      <c r="T31" s="181" t="str">
        <f ca="1">IF(B31="","",IF(ISERROR(MATCH($J31,SorP!$B$1:$B$6226,0)),"",INDIRECT("'SorP'!$A$"&amp;MATCH($S31&amp;$J31,SorP!C:C,0))))</f>
        <v>ID-BB</v>
      </c>
      <c r="U31" s="201"/>
      <c r="V31" s="226">
        <f>IF(C31="",NA(),IF(OR(C31="Smelter not listed",C31="Smelter not yet identified"),MATCH($B31&amp;$D31,'Smelter Look-up'!$J:$J,0),MATCH($B31&amp;$C31,'Smelter Look-up'!$J:$J,0)))</f>
        <v>511</v>
      </c>
      <c r="X31" s="227">
        <f t="shared" si="3"/>
        <v>0</v>
      </c>
      <c r="AB31" s="228" t="str">
        <f t="shared" si="4"/>
        <v>TinPT Belitung Industri Sejahtera</v>
      </c>
    </row>
    <row r="32" spans="1:28" s="227" customFormat="1" ht="38.25">
      <c r="A32" s="181" t="s">
        <v>15435</v>
      </c>
      <c r="B32" s="182" t="s">
        <v>1120</v>
      </c>
      <c r="C32" s="186" t="s">
        <v>15434</v>
      </c>
      <c r="D32" s="230"/>
      <c r="E32" s="182" t="s">
        <v>1095</v>
      </c>
      <c r="F32" s="182" t="s">
        <v>15435</v>
      </c>
      <c r="G32" s="182" t="s">
        <v>13217</v>
      </c>
      <c r="H32" s="183">
        <v>0</v>
      </c>
      <c r="I32" s="184" t="s">
        <v>15109</v>
      </c>
      <c r="J32" s="184" t="s">
        <v>12830</v>
      </c>
      <c r="K32" s="224"/>
      <c r="L32" s="224"/>
      <c r="M32" s="224"/>
      <c r="N32" s="224"/>
      <c r="O32" s="224"/>
      <c r="P32" s="185"/>
      <c r="Q32" s="225"/>
      <c r="R32" s="182" t="str">
        <f ca="1">IF(ISERROR($V32),"",OFFSET('Smelter Look-up'!$C$4,$V32-4,0)&amp;"")</f>
        <v>PT Bukit Timah</v>
      </c>
      <c r="S32" s="181" t="str">
        <f t="shared" ca="1" si="2"/>
        <v>ID</v>
      </c>
      <c r="T32" s="181" t="str">
        <f ca="1">IF(B32="","",IF(ISERROR(MATCH($J32,SorP!$B$1:$B$6226,0)),"",INDIRECT("'SorP'!$A$"&amp;MATCH($S32&amp;$J32,SorP!C:C,0))))</f>
        <v>ID-BB</v>
      </c>
      <c r="U32" s="201"/>
      <c r="V32" s="226">
        <f>IF(C32="",NA(),IF(OR(C32="Smelter not listed",C32="Smelter not yet identified"),MATCH($B32&amp;$D32,'Smelter Look-up'!$J:$J,0),MATCH($B32&amp;$C32,'Smelter Look-up'!$J:$J,0)))</f>
        <v>512</v>
      </c>
      <c r="X32" s="227">
        <f t="shared" si="3"/>
        <v>0</v>
      </c>
      <c r="AB32" s="228" t="str">
        <f t="shared" si="4"/>
        <v>TinPT Bukit Timah</v>
      </c>
    </row>
    <row r="33" spans="1:28" s="227" customFormat="1" ht="38.25">
      <c r="A33" s="181" t="s">
        <v>15894</v>
      </c>
      <c r="B33" s="182" t="s">
        <v>1120</v>
      </c>
      <c r="C33" s="186" t="s">
        <v>1834</v>
      </c>
      <c r="D33" s="230" t="s">
        <v>15895</v>
      </c>
      <c r="E33" s="182" t="s">
        <v>1095</v>
      </c>
      <c r="F33" s="182" t="s">
        <v>15894</v>
      </c>
      <c r="G33" s="182" t="s">
        <v>13217</v>
      </c>
      <c r="H33" s="183" t="s">
        <v>15857</v>
      </c>
      <c r="I33" s="184" t="s">
        <v>15109</v>
      </c>
      <c r="J33" s="184" t="s">
        <v>12830</v>
      </c>
      <c r="K33" s="224"/>
      <c r="L33" s="224"/>
      <c r="M33" s="224"/>
      <c r="N33" s="224"/>
      <c r="O33" s="224"/>
      <c r="P33" s="185"/>
      <c r="Q33" s="225"/>
      <c r="R33" s="182" t="str">
        <f ca="1">IF(ISERROR($V33),"",OFFSET('Smelter Look-up'!$C$4,$V33-4,0)&amp;"")</f>
        <v/>
      </c>
      <c r="S33" s="181" t="str">
        <f t="shared" ca="1" si="2"/>
        <v>ID</v>
      </c>
      <c r="T33" s="181" t="str">
        <f ca="1">IF(B33="","",IF(ISERROR(MATCH($J33,SorP!$B$1:$B$6226,0)),"",INDIRECT("'SorP'!$A$"&amp;MATCH($S33&amp;$J33,SorP!C:C,0))))</f>
        <v>ID-BB</v>
      </c>
      <c r="U33" s="201"/>
      <c r="V33" s="226" t="e">
        <f>IF(C33="",NA(),IF(OR(C33="Smelter not listed",C33="Smelter not yet identified"),MATCH($B33&amp;$D33,'Smelter Look-up'!$J:$J,0),MATCH($B33&amp;$C33,'Smelter Look-up'!$J:$J,0)))</f>
        <v>#N/A</v>
      </c>
      <c r="X33" s="227">
        <f t="shared" si="3"/>
        <v>0</v>
      </c>
      <c r="AB33" s="228" t="str">
        <f t="shared" si="4"/>
        <v>TinSmelter not listed</v>
      </c>
    </row>
    <row r="34" spans="1:28" s="227" customFormat="1" ht="38.25">
      <c r="A34" s="181" t="s">
        <v>15896</v>
      </c>
      <c r="B34" s="182" t="s">
        <v>1120</v>
      </c>
      <c r="C34" s="186" t="s">
        <v>1834</v>
      </c>
      <c r="D34" s="230" t="s">
        <v>15897</v>
      </c>
      <c r="E34" s="182" t="s">
        <v>1095</v>
      </c>
      <c r="F34" s="182" t="s">
        <v>15896</v>
      </c>
      <c r="G34" s="182" t="s">
        <v>13217</v>
      </c>
      <c r="H34" s="183" t="s">
        <v>15857</v>
      </c>
      <c r="I34" s="184" t="s">
        <v>15898</v>
      </c>
      <c r="J34" s="184" t="s">
        <v>1776</v>
      </c>
      <c r="K34" s="224"/>
      <c r="L34" s="224"/>
      <c r="M34" s="224"/>
      <c r="N34" s="224"/>
      <c r="O34" s="224"/>
      <c r="P34" s="185"/>
      <c r="Q34" s="225"/>
      <c r="R34" s="182" t="str">
        <f ca="1">IF(ISERROR($V34),"",OFFSET('Smelter Look-up'!$C$4,$V34-4,0)&amp;"")</f>
        <v/>
      </c>
      <c r="S34" s="181" t="str">
        <f t="shared" ca="1" si="2"/>
        <v>ID</v>
      </c>
      <c r="T34" s="181" t="str">
        <f ca="1">IF(B34="","",IF(ISERROR(MATCH($J34,SorP!$B$1:$B$6226,0)),"",INDIRECT("'SorP'!$A$"&amp;MATCH($S34&amp;$J34,SorP!C:C,0))))</f>
        <v>ID-KR</v>
      </c>
      <c r="U34" s="201"/>
      <c r="V34" s="226" t="e">
        <f>IF(C34="",NA(),IF(OR(C34="Smelter not listed",C34="Smelter not yet identified"),MATCH($B34&amp;$D34,'Smelter Look-up'!$J:$J,0),MATCH($B34&amp;$C34,'Smelter Look-up'!$J:$J,0)))</f>
        <v>#N/A</v>
      </c>
      <c r="X34" s="227">
        <f t="shared" si="3"/>
        <v>0</v>
      </c>
      <c r="AB34" s="228" t="str">
        <f t="shared" si="4"/>
        <v>TinSmelter not listed</v>
      </c>
    </row>
    <row r="35" spans="1:28" s="227" customFormat="1" ht="51">
      <c r="A35" s="262" t="s">
        <v>774</v>
      </c>
      <c r="B35" s="182" t="s">
        <v>1120</v>
      </c>
      <c r="C35" s="186" t="s">
        <v>623</v>
      </c>
      <c r="D35" s="230" t="s">
        <v>623</v>
      </c>
      <c r="E35" s="182" t="s">
        <v>1095</v>
      </c>
      <c r="F35" s="182" t="s">
        <v>774</v>
      </c>
      <c r="G35" s="182" t="s">
        <v>13217</v>
      </c>
      <c r="H35" s="183">
        <v>0</v>
      </c>
      <c r="I35" s="184" t="s">
        <v>1753</v>
      </c>
      <c r="J35" s="184" t="s">
        <v>12830</v>
      </c>
      <c r="K35" s="224"/>
      <c r="L35" s="224"/>
      <c r="M35" s="224"/>
      <c r="N35" s="224"/>
      <c r="O35" s="224"/>
      <c r="P35" s="185" t="s">
        <v>485</v>
      </c>
      <c r="Q35" s="225"/>
      <c r="R35" s="182" t="str">
        <f ca="1">IF(ISERROR($V35),"",OFFSET('Smelter Look-up'!$C$4,$V35-4,0)&amp;"")</f>
        <v>PT Mitra Stania Prima</v>
      </c>
      <c r="S35" s="181" t="str">
        <f t="shared" ca="1" si="2"/>
        <v>ID</v>
      </c>
      <c r="T35" s="181" t="str">
        <f ca="1">IF(B35="","",IF(ISERROR(MATCH($J35,SorP!$B$1:$B$6226,0)),"",INDIRECT("'SorP'!$A$"&amp;MATCH($S35&amp;$J35,SorP!C:C,0))))</f>
        <v>ID-BB</v>
      </c>
      <c r="U35" s="201"/>
      <c r="V35" s="226">
        <f>IF(C35="",NA(),IF(OR(C35="Smelter not listed",C35="Smelter not yet identified"),MATCH($B35&amp;$D35,'Smelter Look-up'!$J:$J,0),MATCH($B35&amp;$C35,'Smelter Look-up'!$J:$J,0)))</f>
        <v>518</v>
      </c>
      <c r="X35" s="227">
        <f t="shared" si="3"/>
        <v>0</v>
      </c>
      <c r="AB35" s="228" t="str">
        <f t="shared" si="4"/>
        <v>TinPT Mitra Stania Prima</v>
      </c>
    </row>
    <row r="36" spans="1:28" s="227" customFormat="1" ht="51">
      <c r="A36" s="181" t="s">
        <v>15453</v>
      </c>
      <c r="B36" s="182" t="s">
        <v>1120</v>
      </c>
      <c r="C36" s="186" t="s">
        <v>15452</v>
      </c>
      <c r="D36" s="230"/>
      <c r="E36" s="182" t="s">
        <v>1095</v>
      </c>
      <c r="F36" s="182" t="s">
        <v>15453</v>
      </c>
      <c r="G36" s="182" t="s">
        <v>13217</v>
      </c>
      <c r="H36" s="183">
        <v>0</v>
      </c>
      <c r="I36" s="184" t="s">
        <v>1753</v>
      </c>
      <c r="J36" s="184" t="s">
        <v>12830</v>
      </c>
      <c r="K36" s="224"/>
      <c r="L36" s="224"/>
      <c r="M36" s="224"/>
      <c r="N36" s="224"/>
      <c r="O36" s="224"/>
      <c r="P36" s="185"/>
      <c r="Q36" s="225"/>
      <c r="R36" s="182" t="str">
        <f ca="1">IF(ISERROR($V36),"",OFFSET('Smelter Look-up'!$C$4,$V36-4,0)&amp;"")</f>
        <v>PT Panca Mega Persada</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520</v>
      </c>
      <c r="X36" s="227">
        <f t="shared" si="3"/>
        <v>0</v>
      </c>
      <c r="AB36" s="228" t="str">
        <f t="shared" si="4"/>
        <v>TinPT Panca Mega Persada</v>
      </c>
    </row>
    <row r="37" spans="1:28" s="227" customFormat="1" ht="51">
      <c r="A37" s="181" t="s">
        <v>15080</v>
      </c>
      <c r="B37" s="182" t="s">
        <v>1120</v>
      </c>
      <c r="C37" s="186" t="s">
        <v>15079</v>
      </c>
      <c r="D37" s="230"/>
      <c r="E37" s="182" t="s">
        <v>1095</v>
      </c>
      <c r="F37" s="182" t="s">
        <v>15080</v>
      </c>
      <c r="G37" s="182" t="s">
        <v>13217</v>
      </c>
      <c r="H37" s="183">
        <v>0</v>
      </c>
      <c r="I37" s="184" t="s">
        <v>15109</v>
      </c>
      <c r="J37" s="184" t="s">
        <v>12830</v>
      </c>
      <c r="K37" s="224"/>
      <c r="L37" s="224"/>
      <c r="M37" s="224"/>
      <c r="N37" s="224"/>
      <c r="O37" s="224"/>
      <c r="P37" s="185"/>
      <c r="Q37" s="225"/>
      <c r="R37" s="182" t="str">
        <f ca="1">IF(ISERROR($V37),"",OFFSET('Smelter Look-up'!$C$4,$V37-4,0)&amp;"")</f>
        <v>PT Prima Timah Utama</v>
      </c>
      <c r="S37" s="181" t="str">
        <f t="shared" ref="S37:S67" ca="1" si="5">IF(B37="","",IF(ISERROR(MATCH($E37,CL,0)),"Unknown",INDIRECT("'C'!$A$"&amp;MATCH($E37,CL,0)+1)))</f>
        <v>ID</v>
      </c>
      <c r="T37" s="181" t="str">
        <f ca="1">IF(B37="","",IF(ISERROR(MATCH($J37,SorP!$B$1:$B$6226,0)),"",INDIRECT("'SorP'!$A$"&amp;MATCH($S37&amp;$J37,SorP!C:C,0))))</f>
        <v>ID-BB</v>
      </c>
      <c r="U37" s="201"/>
      <c r="V37" s="226">
        <f>IF(C37="",NA(),IF(OR(C37="Smelter not listed",C37="Smelter not yet identified"),MATCH($B37&amp;$D37,'Smelter Look-up'!$J:$J,0),MATCH($B37&amp;$C37,'Smelter Look-up'!$J:$J,0)))</f>
        <v>522</v>
      </c>
      <c r="X37" s="227">
        <f t="shared" ref="X37:X67" si="6">IF(AND(C37="Smelter not listed",OR(LEN(D37)=0,LEN(E37)=0)),1,0)</f>
        <v>0</v>
      </c>
      <c r="AB37" s="228" t="str">
        <f t="shared" ref="AB37:AB67" si="7">B37&amp;C37</f>
        <v>TinPT Prima Timah Utama</v>
      </c>
    </row>
    <row r="38" spans="1:28" s="227" customFormat="1" ht="51">
      <c r="A38" s="262" t="s">
        <v>775</v>
      </c>
      <c r="B38" s="182" t="s">
        <v>1120</v>
      </c>
      <c r="C38" s="186" t="s">
        <v>2141</v>
      </c>
      <c r="D38" s="230"/>
      <c r="E38" s="182" t="s">
        <v>1095</v>
      </c>
      <c r="F38" s="182" t="s">
        <v>775</v>
      </c>
      <c r="G38" s="182" t="s">
        <v>13217</v>
      </c>
      <c r="H38" s="183">
        <v>0</v>
      </c>
      <c r="I38" s="184" t="s">
        <v>1753</v>
      </c>
      <c r="J38" s="184" t="s">
        <v>12830</v>
      </c>
      <c r="K38" s="224"/>
      <c r="L38" s="224"/>
      <c r="M38" s="224"/>
      <c r="N38" s="224"/>
      <c r="O38" s="224"/>
      <c r="P38" s="185"/>
      <c r="Q38" s="225"/>
      <c r="R38" s="182" t="str">
        <f ca="1">IF(ISERROR($V38),"",OFFSET('Smelter Look-up'!$C$4,$V38-4,0)&amp;"")</f>
        <v>PT Refined Bangka Tin</v>
      </c>
      <c r="S38" s="181" t="str">
        <f t="shared" ca="1" si="5"/>
        <v>ID</v>
      </c>
      <c r="T38" s="181" t="str">
        <f ca="1">IF(B38="","",IF(ISERROR(MATCH($J38,SorP!$B$1:$B$6226,0)),"",INDIRECT("'SorP'!$A$"&amp;MATCH($S38&amp;$J38,SorP!C:C,0))))</f>
        <v>ID-BB</v>
      </c>
      <c r="U38" s="201"/>
      <c r="V38" s="226">
        <f>IF(C38="",NA(),IF(OR(C38="Smelter not listed",C38="Smelter not yet identified"),MATCH($B38&amp;$D38,'Smelter Look-up'!$J:$J,0),MATCH($B38&amp;$C38,'Smelter Look-up'!$J:$J,0)))</f>
        <v>526</v>
      </c>
      <c r="X38" s="227">
        <f t="shared" si="6"/>
        <v>0</v>
      </c>
      <c r="AB38" s="228" t="str">
        <f t="shared" si="7"/>
        <v>TinPT Refined Bangka Tin</v>
      </c>
    </row>
    <row r="39" spans="1:28" s="227" customFormat="1" ht="63.75">
      <c r="A39" s="181" t="s">
        <v>15457</v>
      </c>
      <c r="B39" s="182" t="s">
        <v>1120</v>
      </c>
      <c r="C39" s="186" t="s">
        <v>15456</v>
      </c>
      <c r="D39" s="230"/>
      <c r="E39" s="182" t="s">
        <v>1095</v>
      </c>
      <c r="F39" s="182" t="s">
        <v>15457</v>
      </c>
      <c r="G39" s="182" t="s">
        <v>13217</v>
      </c>
      <c r="H39" s="183">
        <v>0</v>
      </c>
      <c r="I39" s="184" t="s">
        <v>15109</v>
      </c>
      <c r="J39" s="184" t="s">
        <v>12830</v>
      </c>
      <c r="K39" s="224"/>
      <c r="L39" s="224"/>
      <c r="M39" s="224"/>
      <c r="N39" s="224"/>
      <c r="O39" s="224"/>
      <c r="P39" s="185"/>
      <c r="Q39" s="225"/>
      <c r="R39" s="182" t="str">
        <f ca="1">IF(ISERROR($V39),"",OFFSET('Smelter Look-up'!$C$4,$V39-4,0)&amp;"")</f>
        <v>PT Sariwiguna Binasentosa</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527</v>
      </c>
      <c r="X39" s="227">
        <f t="shared" si="6"/>
        <v>0</v>
      </c>
      <c r="AB39" s="228" t="str">
        <f t="shared" si="7"/>
        <v>TinPT Sariwiguna Binasentosa</v>
      </c>
    </row>
    <row r="40" spans="1:28" s="227" customFormat="1" ht="51">
      <c r="A40" s="181" t="s">
        <v>15084</v>
      </c>
      <c r="B40" s="182" t="s">
        <v>1120</v>
      </c>
      <c r="C40" s="186" t="s">
        <v>15083</v>
      </c>
      <c r="D40" s="230"/>
      <c r="E40" s="182" t="s">
        <v>1095</v>
      </c>
      <c r="F40" s="182" t="s">
        <v>15084</v>
      </c>
      <c r="G40" s="182" t="s">
        <v>13217</v>
      </c>
      <c r="H40" s="183">
        <v>0</v>
      </c>
      <c r="I40" s="184" t="s">
        <v>15109</v>
      </c>
      <c r="J40" s="184" t="s">
        <v>12830</v>
      </c>
      <c r="K40" s="224"/>
      <c r="L40" s="224"/>
      <c r="M40" s="224"/>
      <c r="N40" s="224"/>
      <c r="O40" s="224"/>
      <c r="P40" s="185"/>
      <c r="Q40" s="225"/>
      <c r="R40" s="182" t="str">
        <f ca="1">IF(ISERROR($V40),"",OFFSET('Smelter Look-up'!$C$4,$V40-4,0)&amp;"")</f>
        <v>PT Stanindo Inti Perkasa</v>
      </c>
      <c r="S40" s="181" t="str">
        <f t="shared" ca="1" si="5"/>
        <v>ID</v>
      </c>
      <c r="T40" s="181" t="str">
        <f ca="1">IF(B40="","",IF(ISERROR(MATCH($J40,SorP!$B$1:$B$6226,0)),"",INDIRECT("'SorP'!$A$"&amp;MATCH($S40&amp;$J40,SorP!C:C,0))))</f>
        <v>ID-BB</v>
      </c>
      <c r="U40" s="201"/>
      <c r="V40" s="226">
        <f>IF(C40="",NA(),IF(OR(C40="Smelter not listed",C40="Smelter not yet identified"),MATCH($B40&amp;$D40,'Smelter Look-up'!$J:$J,0),MATCH($B40&amp;$C40,'Smelter Look-up'!$J:$J,0)))</f>
        <v>528</v>
      </c>
      <c r="X40" s="227">
        <f t="shared" si="6"/>
        <v>0</v>
      </c>
      <c r="AB40" s="228" t="str">
        <f t="shared" si="7"/>
        <v>TinPT Stanindo Inti Perkasa</v>
      </c>
    </row>
    <row r="41" spans="1:28" s="227" customFormat="1" ht="38.25">
      <c r="A41" s="181" t="s">
        <v>15899</v>
      </c>
      <c r="B41" s="182" t="s">
        <v>1120</v>
      </c>
      <c r="C41" s="186" t="s">
        <v>1834</v>
      </c>
      <c r="D41" s="230" t="s">
        <v>15900</v>
      </c>
      <c r="E41" s="182" t="s">
        <v>1095</v>
      </c>
      <c r="F41" s="182" t="s">
        <v>15899</v>
      </c>
      <c r="G41" s="182" t="s">
        <v>13217</v>
      </c>
      <c r="H41" s="183" t="s">
        <v>15857</v>
      </c>
      <c r="I41" s="184" t="s">
        <v>15109</v>
      </c>
      <c r="J41" s="184" t="s">
        <v>15858</v>
      </c>
      <c r="K41" s="224"/>
      <c r="L41" s="224"/>
      <c r="M41" s="224"/>
      <c r="N41" s="224"/>
      <c r="O41" s="224"/>
      <c r="P41" s="185"/>
      <c r="Q41" s="225"/>
      <c r="R41" s="182" t="str">
        <f ca="1">IF(ISERROR($V41),"",OFFSET('Smelter Look-up'!$C$4,$V41-4,0)&amp;"")</f>
        <v/>
      </c>
      <c r="S41" s="181" t="str">
        <f t="shared" ca="1" si="5"/>
        <v>ID</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6"/>
        <v>0</v>
      </c>
      <c r="AB41" s="228" t="str">
        <f t="shared" si="7"/>
        <v>TinSmelter not listed</v>
      </c>
    </row>
    <row r="42" spans="1:28" s="227" customFormat="1" ht="51">
      <c r="A42" s="181" t="s">
        <v>794</v>
      </c>
      <c r="B42" s="182" t="s">
        <v>1120</v>
      </c>
      <c r="C42" s="186" t="s">
        <v>13779</v>
      </c>
      <c r="D42" s="230" t="s">
        <v>13779</v>
      </c>
      <c r="E42" s="182" t="s">
        <v>1095</v>
      </c>
      <c r="F42" s="182" t="s">
        <v>794</v>
      </c>
      <c r="G42" s="182" t="s">
        <v>13217</v>
      </c>
      <c r="H42" s="183">
        <v>0</v>
      </c>
      <c r="I42" s="184" t="s">
        <v>1778</v>
      </c>
      <c r="J42" s="184" t="s">
        <v>6047</v>
      </c>
      <c r="K42" s="224"/>
      <c r="L42" s="224"/>
      <c r="M42" s="224"/>
      <c r="N42" s="224"/>
      <c r="O42" s="224"/>
      <c r="P42" s="185" t="s">
        <v>485</v>
      </c>
      <c r="Q42" s="225"/>
      <c r="R42" s="182" t="str">
        <f ca="1">IF(ISERROR($V42),"",OFFSET('Smelter Look-up'!$C$4,$V42-4,0)&amp;"")</f>
        <v>PT Timah Tbk Kundur</v>
      </c>
      <c r="S42" s="181" t="str">
        <f t="shared" ca="1" si="5"/>
        <v>ID</v>
      </c>
      <c r="T42" s="181" t="str">
        <f ca="1">IF(B42="","",IF(ISERROR(MATCH($J42,SorP!$B$1:$B$6226,0)),"",INDIRECT("'SorP'!$A$"&amp;MATCH($S42&amp;$J42,SorP!C:C,0))))</f>
        <v>ID-RI</v>
      </c>
      <c r="U42" s="201"/>
      <c r="V42" s="226">
        <f>IF(C42="",NA(),IF(OR(C42="Smelter not listed",C42="Smelter not yet identified"),MATCH($B42&amp;$D42,'Smelter Look-up'!$J:$J,0),MATCH($B42&amp;$C42,'Smelter Look-up'!$J:$J,0)))</f>
        <v>532</v>
      </c>
      <c r="X42" s="227">
        <f t="shared" si="6"/>
        <v>0</v>
      </c>
      <c r="AB42" s="228" t="str">
        <f t="shared" si="7"/>
        <v>TinPT Timah Tbk Kundur</v>
      </c>
    </row>
    <row r="43" spans="1:28" s="227" customFormat="1" ht="51">
      <c r="A43" s="262" t="s">
        <v>776</v>
      </c>
      <c r="B43" s="182" t="s">
        <v>1120</v>
      </c>
      <c r="C43" s="186" t="s">
        <v>13778</v>
      </c>
      <c r="D43" s="230" t="s">
        <v>13778</v>
      </c>
      <c r="E43" s="182" t="s">
        <v>1095</v>
      </c>
      <c r="F43" s="182" t="s">
        <v>776</v>
      </c>
      <c r="G43" s="182" t="s">
        <v>13217</v>
      </c>
      <c r="H43" s="183">
        <v>0</v>
      </c>
      <c r="I43" s="184" t="s">
        <v>1780</v>
      </c>
      <c r="J43" s="184" t="s">
        <v>12830</v>
      </c>
      <c r="K43" s="224"/>
      <c r="L43" s="224"/>
      <c r="M43" s="224" t="s">
        <v>15866</v>
      </c>
      <c r="N43" s="224" t="s">
        <v>15901</v>
      </c>
      <c r="O43" s="224" t="s">
        <v>15858</v>
      </c>
      <c r="P43" s="185" t="s">
        <v>485</v>
      </c>
      <c r="Q43" s="225"/>
      <c r="R43" s="182" t="str">
        <f ca="1">IF(ISERROR($V43),"",OFFSET('Smelter Look-up'!$C$4,$V43-4,0)&amp;"")</f>
        <v>PT Timah Tbk Mentok</v>
      </c>
      <c r="S43" s="181" t="str">
        <f t="shared" ca="1" si="5"/>
        <v>ID</v>
      </c>
      <c r="T43" s="181" t="str">
        <f ca="1">IF(B43="","",IF(ISERROR(MATCH($J43,SorP!$B$1:$B$6226,0)),"",INDIRECT("'SorP'!$A$"&amp;MATCH($S43&amp;$J43,SorP!C:C,0))))</f>
        <v>ID-BB</v>
      </c>
      <c r="U43" s="201"/>
      <c r="V43" s="226">
        <f>IF(C43="",NA(),IF(OR(C43="Smelter not listed",C43="Smelter not yet identified"),MATCH($B43&amp;$D43,'Smelter Look-up'!$J:$J,0),MATCH($B43&amp;$C43,'Smelter Look-up'!$J:$J,0)))</f>
        <v>533</v>
      </c>
      <c r="X43" s="227">
        <f t="shared" si="6"/>
        <v>0</v>
      </c>
      <c r="AB43" s="228" t="str">
        <f t="shared" si="7"/>
        <v>TinPT Timah Tbk Mentok</v>
      </c>
    </row>
    <row r="44" spans="1:28" s="227" customFormat="1" ht="51">
      <c r="A44" s="181" t="s">
        <v>15088</v>
      </c>
      <c r="B44" s="182" t="s">
        <v>1120</v>
      </c>
      <c r="C44" s="186" t="s">
        <v>15087</v>
      </c>
      <c r="D44" s="230"/>
      <c r="E44" s="182" t="s">
        <v>1095</v>
      </c>
      <c r="F44" s="182" t="s">
        <v>15088</v>
      </c>
      <c r="G44" s="182" t="s">
        <v>13217</v>
      </c>
      <c r="H44" s="183">
        <v>0</v>
      </c>
      <c r="I44" s="184" t="s">
        <v>15109</v>
      </c>
      <c r="J44" s="184" t="s">
        <v>12830</v>
      </c>
      <c r="K44" s="224"/>
      <c r="L44" s="224"/>
      <c r="M44" s="224"/>
      <c r="N44" s="224"/>
      <c r="O44" s="224"/>
      <c r="P44" s="185"/>
      <c r="Q44" s="225"/>
      <c r="R44" s="182" t="str">
        <f ca="1">IF(ISERROR($V44),"",OFFSET('Smelter Look-up'!$C$4,$V44-4,0)&amp;"")</f>
        <v>PT Tinindo Inter Nusa</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534</v>
      </c>
      <c r="X44" s="227">
        <f t="shared" si="6"/>
        <v>0</v>
      </c>
      <c r="AB44" s="228" t="str">
        <f t="shared" si="7"/>
        <v>TinPT Tinindo Inter Nusa</v>
      </c>
    </row>
    <row r="45" spans="1:28" s="227" customFormat="1" ht="38.25">
      <c r="A45" s="262" t="s">
        <v>15463</v>
      </c>
      <c r="B45" s="182" t="s">
        <v>1120</v>
      </c>
      <c r="C45" s="186" t="s">
        <v>15462</v>
      </c>
      <c r="D45" s="230"/>
      <c r="E45" s="182" t="s">
        <v>1095</v>
      </c>
      <c r="F45" s="182" t="s">
        <v>15463</v>
      </c>
      <c r="G45" s="182" t="s">
        <v>13217</v>
      </c>
      <c r="H45" s="183"/>
      <c r="I45" s="184" t="s">
        <v>15464</v>
      </c>
      <c r="J45" s="184" t="s">
        <v>12830</v>
      </c>
      <c r="K45" s="224"/>
      <c r="L45" s="224"/>
      <c r="M45" s="224"/>
      <c r="N45" s="224"/>
      <c r="O45" s="224"/>
      <c r="P45" s="185"/>
      <c r="Q45" s="225"/>
      <c r="R45" s="182" t="str">
        <f ca="1">IF(ISERROR($V45),"",OFFSET('Smelter Look-up'!$C$4,$V45-4,0)&amp;"")</f>
        <v>PT Tommy Utama</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536</v>
      </c>
      <c r="X45" s="227">
        <f t="shared" si="6"/>
        <v>0</v>
      </c>
      <c r="AB45" s="228" t="str">
        <f t="shared" si="7"/>
        <v>TinPT Tommy Utama</v>
      </c>
    </row>
    <row r="46" spans="1:28" s="227" customFormat="1" ht="25.5">
      <c r="A46" s="181" t="s">
        <v>778</v>
      </c>
      <c r="B46" s="182" t="s">
        <v>1120</v>
      </c>
      <c r="C46" s="186" t="s">
        <v>777</v>
      </c>
      <c r="D46" s="230"/>
      <c r="E46" s="182" t="s">
        <v>2414</v>
      </c>
      <c r="F46" s="182" t="s">
        <v>778</v>
      </c>
      <c r="G46" s="182" t="s">
        <v>13217</v>
      </c>
      <c r="H46" s="183">
        <v>0</v>
      </c>
      <c r="I46" s="184" t="s">
        <v>13804</v>
      </c>
      <c r="J46" s="184" t="s">
        <v>1691</v>
      </c>
      <c r="K46" s="224"/>
      <c r="L46" s="224"/>
      <c r="M46" s="224"/>
      <c r="N46" s="224"/>
      <c r="O46" s="224"/>
      <c r="P46" s="185"/>
      <c r="Q46" s="225"/>
      <c r="R46" s="182" t="str">
        <f ca="1">IF(ISERROR($V46),"",OFFSET('Smelter Look-up'!$C$4,$V46-4,0)&amp;"")</f>
        <v>Rui Da Hung</v>
      </c>
      <c r="S46" s="181" t="str">
        <f t="shared" ca="1" si="5"/>
        <v>TW</v>
      </c>
      <c r="T46" s="181" t="str">
        <f ca="1">IF(B46="","",IF(ISERROR(MATCH($J46,SorP!$B$1:$B$6226,0)),"",INDIRECT("'SorP'!$A$"&amp;MATCH($S46&amp;$J46,SorP!C:C,0))))</f>
        <v>TW-TAO</v>
      </c>
      <c r="U46" s="201"/>
      <c r="V46" s="226">
        <f>IF(C46="",NA(),IF(OR(C46="Smelter not listed",C46="Smelter not yet identified"),MATCH($B46&amp;$D46,'Smelter Look-up'!$J:$J,0),MATCH($B46&amp;$C46,'Smelter Look-up'!$J:$J,0)))</f>
        <v>541</v>
      </c>
      <c r="X46" s="227">
        <f t="shared" si="6"/>
        <v>0</v>
      </c>
      <c r="AB46" s="228" t="str">
        <f t="shared" si="7"/>
        <v>TinRui Da Hung</v>
      </c>
    </row>
    <row r="47" spans="1:28" s="227" customFormat="1" ht="38.25">
      <c r="A47" s="181" t="s">
        <v>15902</v>
      </c>
      <c r="B47" s="182" t="s">
        <v>1120</v>
      </c>
      <c r="C47" s="186" t="s">
        <v>15903</v>
      </c>
      <c r="D47" s="230"/>
      <c r="E47" s="182" t="s">
        <v>1086</v>
      </c>
      <c r="F47" s="182" t="s">
        <v>15902</v>
      </c>
      <c r="G47" s="182" t="s">
        <v>13217</v>
      </c>
      <c r="H47" s="183">
        <v>0</v>
      </c>
      <c r="I47" s="184" t="s">
        <v>15904</v>
      </c>
      <c r="J47" s="184" t="s">
        <v>1666</v>
      </c>
      <c r="K47" s="224"/>
      <c r="L47" s="224"/>
      <c r="M47" s="224"/>
      <c r="N47" s="224"/>
      <c r="O47" s="224"/>
      <c r="P47" s="185"/>
      <c r="Q47" s="225"/>
      <c r="R47" s="182" t="str">
        <f ca="1">IF(ISERROR($V47),"",OFFSET('Smelter Look-up'!$C$4,$V47-4,0)&amp;"")</f>
        <v/>
      </c>
      <c r="S47" s="181" t="str">
        <f t="shared" ca="1" si="5"/>
        <v>BR</v>
      </c>
      <c r="T47" s="181" t="str">
        <f ca="1">IF(B47="","",IF(ISERROR(MATCH($J47,SorP!$B$1:$B$6226,0)),"",INDIRECT("'SorP'!$A$"&amp;MATCH($S47&amp;$J47,SorP!C:C,0))))</f>
        <v>BR-SP</v>
      </c>
      <c r="U47" s="201"/>
      <c r="V47" s="226" t="e">
        <f>IF(C47="",NA(),IF(OR(C47="Smelter not listed",C47="Smelter not yet identified"),MATCH($B47&amp;$D47,'Smelter Look-up'!$J:$J,0),MATCH($B47&amp;$C47,'Smelter Look-up'!$J:$J,0)))</f>
        <v>#N/A</v>
      </c>
      <c r="X47" s="227">
        <f t="shared" si="6"/>
        <v>0</v>
      </c>
      <c r="AB47" s="228" t="str">
        <f t="shared" si="7"/>
        <v>TinSoft Metais Ltda.</v>
      </c>
    </row>
    <row r="48" spans="1:28" s="227" customFormat="1" ht="25.5">
      <c r="A48" s="181" t="s">
        <v>779</v>
      </c>
      <c r="B48" s="182" t="s">
        <v>1120</v>
      </c>
      <c r="C48" s="186" t="s">
        <v>1021</v>
      </c>
      <c r="D48" s="230"/>
      <c r="E48" s="182" t="s">
        <v>878</v>
      </c>
      <c r="F48" s="182" t="s">
        <v>779</v>
      </c>
      <c r="G48" s="182" t="s">
        <v>13217</v>
      </c>
      <c r="H48" s="183">
        <v>0</v>
      </c>
      <c r="I48" s="184" t="s">
        <v>1781</v>
      </c>
      <c r="J48" s="184" t="s">
        <v>1782</v>
      </c>
      <c r="K48" s="224"/>
      <c r="L48" s="224"/>
      <c r="M48" s="224"/>
      <c r="N48" s="224"/>
      <c r="O48" s="224"/>
      <c r="P48" s="185"/>
      <c r="Q48" s="225"/>
      <c r="R48" s="182" t="str">
        <f ca="1">IF(ISERROR($V48),"",OFFSET('Smelter Look-up'!$C$4,$V48-4,0)&amp;"")</f>
        <v>Thaisarco</v>
      </c>
      <c r="S48" s="181" t="str">
        <f t="shared" ca="1" si="5"/>
        <v>TH</v>
      </c>
      <c r="T48" s="181" t="str">
        <f ca="1">IF(B48="","",IF(ISERROR(MATCH($J48,SorP!$B$1:$B$6226,0)),"",INDIRECT("'SorP'!$A$"&amp;MATCH($S48&amp;$J48,SorP!C:C,0))))</f>
        <v>TH-83</v>
      </c>
      <c r="U48" s="201"/>
      <c r="V48" s="226">
        <f>IF(C48="",NA(),IF(OR(C48="Smelter not listed",C48="Smelter not yet identified"),MATCH($B48&amp;$D48,'Smelter Look-up'!$J:$J,0),MATCH($B48&amp;$C48,'Smelter Look-up'!$J:$J,0)))</f>
        <v>547</v>
      </c>
      <c r="X48" s="227">
        <f t="shared" si="6"/>
        <v>0</v>
      </c>
      <c r="AB48" s="228" t="str">
        <f t="shared" si="7"/>
        <v>TinThaisarco</v>
      </c>
    </row>
    <row r="49" spans="1:28" s="227" customFormat="1" ht="76.5">
      <c r="A49" s="181" t="s">
        <v>780</v>
      </c>
      <c r="B49" s="182" t="s">
        <v>1120</v>
      </c>
      <c r="C49" s="186" t="s">
        <v>2515</v>
      </c>
      <c r="D49" s="230"/>
      <c r="E49" s="182" t="s">
        <v>1086</v>
      </c>
      <c r="F49" s="182" t="s">
        <v>780</v>
      </c>
      <c r="G49" s="182" t="s">
        <v>13217</v>
      </c>
      <c r="H49" s="183">
        <v>0</v>
      </c>
      <c r="I49" s="184" t="s">
        <v>1752</v>
      </c>
      <c r="J49" s="184" t="s">
        <v>1756</v>
      </c>
      <c r="K49" s="224"/>
      <c r="L49" s="224"/>
      <c r="M49" s="224"/>
      <c r="N49" s="224"/>
      <c r="O49" s="224"/>
      <c r="P49" s="185"/>
      <c r="Q49" s="225"/>
      <c r="R49" s="182" t="str">
        <f ca="1">IF(ISERROR($V49),"",OFFSET('Smelter Look-up'!$C$4,$V49-4,0)&amp;"")</f>
        <v>White Solder Metalurgia e Mineracao Ltda.</v>
      </c>
      <c r="S49" s="181" t="str">
        <f t="shared" ca="1" si="5"/>
        <v>BR</v>
      </c>
      <c r="T49" s="181" t="str">
        <f ca="1">IF(B49="","",IF(ISERROR(MATCH($J49,SorP!$B$1:$B$6226,0)),"",INDIRECT("'SorP'!$A$"&amp;MATCH($S49&amp;$J49,SorP!C:C,0))))</f>
        <v>BR-RO</v>
      </c>
      <c r="U49" s="201"/>
      <c r="V49" s="226">
        <f>IF(C49="",NA(),IF(OR(C49="Smelter not listed",C49="Smelter not yet identified"),MATCH($B49&amp;$D49,'Smelter Look-up'!$J:$J,0),MATCH($B49&amp;$C49,'Smelter Look-up'!$J:$J,0)))</f>
        <v>556</v>
      </c>
      <c r="X49" s="227">
        <f t="shared" si="6"/>
        <v>0</v>
      </c>
      <c r="AB49" s="228" t="str">
        <f t="shared" si="7"/>
        <v>TinWhite Solder Metalurgia e Mineracao Ltda.</v>
      </c>
    </row>
    <row r="50" spans="1:28" s="227" customFormat="1" ht="76.5">
      <c r="A50" s="262" t="s">
        <v>780</v>
      </c>
      <c r="B50" s="182" t="s">
        <v>1120</v>
      </c>
      <c r="C50" s="186" t="s">
        <v>2515</v>
      </c>
      <c r="D50" s="230"/>
      <c r="E50" s="182" t="s">
        <v>1086</v>
      </c>
      <c r="F50" s="182" t="s">
        <v>780</v>
      </c>
      <c r="G50" s="182" t="s">
        <v>13217</v>
      </c>
      <c r="H50" s="183">
        <v>0</v>
      </c>
      <c r="I50" s="184" t="s">
        <v>1752</v>
      </c>
      <c r="J50" s="184" t="s">
        <v>1756</v>
      </c>
      <c r="K50" s="224"/>
      <c r="L50" s="224"/>
      <c r="M50" s="224"/>
      <c r="N50" s="224"/>
      <c r="O50" s="224"/>
      <c r="P50" s="185"/>
      <c r="Q50" s="225"/>
      <c r="R50" s="182" t="str">
        <f ca="1">IF(ISERROR($V50),"",OFFSET('Smelter Look-up'!$C$4,$V50-4,0)&amp;"")</f>
        <v>White Solder Metalurgia e Mineracao Ltda.</v>
      </c>
      <c r="S50" s="181" t="str">
        <f t="shared" ca="1" si="5"/>
        <v>BR</v>
      </c>
      <c r="T50" s="181" t="str">
        <f ca="1">IF(B50="","",IF(ISERROR(MATCH($J50,SorP!$B$1:$B$6226,0)),"",INDIRECT("'SorP'!$A$"&amp;MATCH($S50&amp;$J50,SorP!C:C,0))))</f>
        <v>BR-RO</v>
      </c>
      <c r="U50" s="201"/>
      <c r="V50" s="226">
        <f>IF(C50="",NA(),IF(OR(C50="Smelter not listed",C50="Smelter not yet identified"),MATCH($B50&amp;$D50,'Smelter Look-up'!$J:$J,0),MATCH($B50&amp;$C50,'Smelter Look-up'!$J:$J,0)))</f>
        <v>556</v>
      </c>
      <c r="X50" s="227">
        <f t="shared" si="6"/>
        <v>0</v>
      </c>
      <c r="AB50" s="228" t="str">
        <f t="shared" si="7"/>
        <v>TinWhite Solder Metalurgia e Mineracao Ltda.</v>
      </c>
    </row>
    <row r="51" spans="1:28" s="227" customFormat="1" ht="63.75">
      <c r="A51" s="262" t="s">
        <v>781</v>
      </c>
      <c r="B51" s="182" t="s">
        <v>1120</v>
      </c>
      <c r="C51" s="186" t="s">
        <v>2210</v>
      </c>
      <c r="D51" s="230" t="s">
        <v>2210</v>
      </c>
      <c r="E51" s="182" t="s">
        <v>1090</v>
      </c>
      <c r="F51" s="182" t="s">
        <v>781</v>
      </c>
      <c r="G51" s="182" t="s">
        <v>13217</v>
      </c>
      <c r="H51" s="183">
        <v>0</v>
      </c>
      <c r="I51" s="184" t="s">
        <v>2429</v>
      </c>
      <c r="J51" s="184" t="s">
        <v>13605</v>
      </c>
      <c r="K51" s="224"/>
      <c r="L51" s="224"/>
      <c r="M51" s="224"/>
      <c r="N51" s="224"/>
      <c r="O51" s="224"/>
      <c r="P51" s="185"/>
      <c r="Q51" s="225"/>
      <c r="R51" s="182" t="str">
        <f ca="1">IF(ISERROR($V51),"",OFFSET('Smelter Look-up'!$C$4,$V51-4,0)&amp;"")</f>
        <v>Yunnan Chengfeng Non-ferrous Metals Co., Ltd.</v>
      </c>
      <c r="S51" s="181" t="str">
        <f t="shared" ca="1" si="5"/>
        <v>CN</v>
      </c>
      <c r="T51" s="181" t="str">
        <f ca="1">IF(B51="","",IF(ISERROR(MATCH($J51,SorP!$B$1:$B$6226,0)),"",INDIRECT("'SorP'!$A$"&amp;MATCH($S51&amp;$J51,SorP!C:C,0))))</f>
        <v>CN-YN</v>
      </c>
      <c r="U51" s="201"/>
      <c r="V51" s="226">
        <f>IF(C51="",NA(),IF(OR(C51="Smelter not listed",C51="Smelter not yet identified"),MATCH($B51&amp;$D51,'Smelter Look-up'!$J:$J,0),MATCH($B51&amp;$C51,'Smelter Look-up'!$J:$J,0)))</f>
        <v>409</v>
      </c>
      <c r="X51" s="227">
        <f t="shared" si="6"/>
        <v>0</v>
      </c>
      <c r="AB51" s="228" t="str">
        <f t="shared" si="7"/>
        <v>TinChengfeng Metals Co Pte Ltd</v>
      </c>
    </row>
    <row r="52" spans="1:28" s="227" customFormat="1" ht="89.25">
      <c r="A52" s="181" t="s">
        <v>782</v>
      </c>
      <c r="B52" s="182" t="s">
        <v>1120</v>
      </c>
      <c r="C52" s="186" t="s">
        <v>15436</v>
      </c>
      <c r="D52" s="230"/>
      <c r="E52" s="182" t="s">
        <v>1090</v>
      </c>
      <c r="F52" s="182" t="s">
        <v>782</v>
      </c>
      <c r="G52" s="182" t="s">
        <v>13217</v>
      </c>
      <c r="H52" s="183">
        <v>0</v>
      </c>
      <c r="I52" s="184" t="s">
        <v>2429</v>
      </c>
      <c r="J52" s="184" t="s">
        <v>13605</v>
      </c>
      <c r="K52" s="224"/>
      <c r="L52" s="224"/>
      <c r="M52" s="224"/>
      <c r="N52" s="224"/>
      <c r="O52" s="224"/>
      <c r="P52" s="185"/>
      <c r="Q52" s="225"/>
      <c r="R52" s="182" t="str">
        <f ca="1">IF(ISERROR($V52),"",OFFSET('Smelter Look-up'!$C$4,$V52-4,0)&amp;"")</f>
        <v>Tin Smelting Branch of Yunnan Tin Co., Ltd.</v>
      </c>
      <c r="S52" s="181" t="str">
        <f t="shared" ca="1" si="5"/>
        <v>CN</v>
      </c>
      <c r="T52" s="181" t="str">
        <f ca="1">IF(B52="","",IF(ISERROR(MATCH($J52,SorP!$B$1:$B$6226,0)),"",INDIRECT("'SorP'!$A$"&amp;MATCH($S52&amp;$J52,SorP!C:C,0))))</f>
        <v>CN-YN</v>
      </c>
      <c r="U52" s="201"/>
      <c r="V52" s="226">
        <f>IF(C52="",NA(),IF(OR(C52="Smelter not listed",C52="Smelter not yet identified"),MATCH($B52&amp;$D52,'Smelter Look-up'!$J:$J,0),MATCH($B52&amp;$C52,'Smelter Look-up'!$J:$J,0)))</f>
        <v>550</v>
      </c>
      <c r="X52" s="227">
        <f t="shared" si="6"/>
        <v>0</v>
      </c>
      <c r="AB52" s="228" t="str">
        <f t="shared" si="7"/>
        <v>TinTin Smelting Branch of Yunnan Tin Co., Ltd.</v>
      </c>
    </row>
    <row r="53" spans="1:28" s="227" customFormat="1" ht="76.5">
      <c r="A53" s="181" t="s">
        <v>136</v>
      </c>
      <c r="B53" s="182" t="s">
        <v>1120</v>
      </c>
      <c r="C53" s="186" t="s">
        <v>2151</v>
      </c>
      <c r="D53" s="230"/>
      <c r="E53" s="182" t="s">
        <v>1086</v>
      </c>
      <c r="F53" s="182" t="s">
        <v>136</v>
      </c>
      <c r="G53" s="182" t="s">
        <v>13217</v>
      </c>
      <c r="H53" s="183">
        <v>0</v>
      </c>
      <c r="I53" s="184" t="s">
        <v>1709</v>
      </c>
      <c r="J53" s="184" t="s">
        <v>1540</v>
      </c>
      <c r="K53" s="224"/>
      <c r="L53" s="224"/>
      <c r="M53" s="224"/>
      <c r="N53" s="224"/>
      <c r="O53" s="224"/>
      <c r="P53" s="185"/>
      <c r="Q53" s="225"/>
      <c r="R53" s="182" t="str">
        <f ca="1">IF(ISERROR($V53),"",OFFSET('Smelter Look-up'!$C$4,$V53-4,0)&amp;"")</f>
        <v>Magnu's Minerais Metais e Ligas Ltda.</v>
      </c>
      <c r="S53" s="181" t="str">
        <f t="shared" ca="1" si="5"/>
        <v>BR</v>
      </c>
      <c r="T53" s="181" t="str">
        <f ca="1">IF(B53="","",IF(ISERROR(MATCH($J53,SorP!$B$1:$B$6226,0)),"",INDIRECT("'SorP'!$A$"&amp;MATCH($S53&amp;$J53,SorP!C:C,0))))</f>
        <v>BR-MG</v>
      </c>
      <c r="U53" s="201"/>
      <c r="V53" s="226">
        <f>IF(C53="",NA(),IF(OR(C53="Smelter not listed",C53="Smelter not yet identified"),MATCH($B53&amp;$D53,'Smelter Look-up'!$J:$J,0),MATCH($B53&amp;$C53,'Smelter Look-up'!$J:$J,0)))</f>
        <v>473</v>
      </c>
      <c r="X53" s="227">
        <f t="shared" si="6"/>
        <v>0</v>
      </c>
      <c r="AB53" s="228" t="str">
        <f t="shared" si="7"/>
        <v>TinMagnu's Minerais Metais e Ligas Ltda.</v>
      </c>
    </row>
    <row r="54" spans="1:28" s="227" customFormat="1" ht="51">
      <c r="A54" s="181" t="s">
        <v>1314</v>
      </c>
      <c r="B54" s="182" t="s">
        <v>1120</v>
      </c>
      <c r="C54" s="186" t="s">
        <v>2322</v>
      </c>
      <c r="D54" s="230"/>
      <c r="E54" s="182" t="s">
        <v>1086</v>
      </c>
      <c r="F54" s="182" t="s">
        <v>1314</v>
      </c>
      <c r="G54" s="182" t="s">
        <v>13217</v>
      </c>
      <c r="H54" s="183">
        <v>0</v>
      </c>
      <c r="I54" s="184" t="s">
        <v>1752</v>
      </c>
      <c r="J54" s="184" t="s">
        <v>1756</v>
      </c>
      <c r="K54" s="224"/>
      <c r="L54" s="224"/>
      <c r="M54" s="224"/>
      <c r="N54" s="224"/>
      <c r="O54" s="224"/>
      <c r="P54" s="185"/>
      <c r="Q54" s="225"/>
      <c r="R54" s="182" t="str">
        <f ca="1">IF(ISERROR($V54),"",OFFSET('Smelter Look-up'!$C$4,$V54-4,0)&amp;"")</f>
        <v>Melt Metais e Ligas S.A.</v>
      </c>
      <c r="S54" s="181" t="str">
        <f t="shared" ca="1" si="5"/>
        <v>BR</v>
      </c>
      <c r="T54" s="181" t="str">
        <f ca="1">IF(B54="","",IF(ISERROR(MATCH($J54,SorP!$B$1:$B$6226,0)),"",INDIRECT("'SorP'!$A$"&amp;MATCH($S54&amp;$J54,SorP!C:C,0))))</f>
        <v>BR-RO</v>
      </c>
      <c r="U54" s="201"/>
      <c r="V54" s="226">
        <f>IF(C54="",NA(),IF(OR(C54="Smelter not listed",C54="Smelter not yet identified"),MATCH($B54&amp;$D54,'Smelter Look-up'!$J:$J,0),MATCH($B54&amp;$C54,'Smelter Look-up'!$J:$J,0)))</f>
        <v>476</v>
      </c>
      <c r="X54" s="227">
        <f t="shared" si="6"/>
        <v>0</v>
      </c>
      <c r="AB54" s="228" t="str">
        <f t="shared" si="7"/>
        <v>TinMelt Metais e Ligas S.A.</v>
      </c>
    </row>
    <row r="55" spans="1:28" s="227" customFormat="1" ht="63.75">
      <c r="A55" s="181" t="s">
        <v>1392</v>
      </c>
      <c r="B55" s="182" t="s">
        <v>1120</v>
      </c>
      <c r="C55" s="186" t="s">
        <v>1391</v>
      </c>
      <c r="D55" s="230"/>
      <c r="E55" s="182" t="s">
        <v>1095</v>
      </c>
      <c r="F55" s="182" t="s">
        <v>1392</v>
      </c>
      <c r="G55" s="182" t="s">
        <v>13217</v>
      </c>
      <c r="H55" s="183">
        <v>0</v>
      </c>
      <c r="I55" s="184" t="s">
        <v>1753</v>
      </c>
      <c r="J55" s="184" t="s">
        <v>12830</v>
      </c>
      <c r="K55" s="224"/>
      <c r="L55" s="224"/>
      <c r="M55" s="224"/>
      <c r="N55" s="224"/>
      <c r="O55" s="224"/>
      <c r="P55" s="185"/>
      <c r="Q55" s="225"/>
      <c r="R55" s="182" t="str">
        <f ca="1">IF(ISERROR($V55),"",OFFSET('Smelter Look-up'!$C$4,$V55-4,0)&amp;"")</f>
        <v>PT ATD Makmur Mandiri Jaya</v>
      </c>
      <c r="S55" s="181" t="str">
        <f t="shared" ca="1" si="5"/>
        <v>ID</v>
      </c>
      <c r="T55" s="181" t="str">
        <f ca="1">IF(B55="","",IF(ISERROR(MATCH($J55,SorP!$B$1:$B$6226,0)),"",INDIRECT("'SorP'!$A$"&amp;MATCH($S55&amp;$J55,SorP!C:C,0))))</f>
        <v>ID-BB</v>
      </c>
      <c r="U55" s="201"/>
      <c r="V55" s="226">
        <f>IF(C55="",NA(),IF(OR(C55="Smelter not listed",C55="Smelter not yet identified"),MATCH($B55&amp;$D55,'Smelter Look-up'!$J:$J,0),MATCH($B55&amp;$C55,'Smelter Look-up'!$J:$J,0)))</f>
        <v>505</v>
      </c>
      <c r="X55" s="227">
        <f t="shared" si="6"/>
        <v>0</v>
      </c>
      <c r="AB55" s="228" t="str">
        <f t="shared" si="7"/>
        <v>TinPT ATD Makmur Mandiri Jaya</v>
      </c>
    </row>
    <row r="56" spans="1:28" s="227" customFormat="1" ht="63.75">
      <c r="A56" s="181" t="s">
        <v>1390</v>
      </c>
      <c r="B56" s="182" t="s">
        <v>1120</v>
      </c>
      <c r="C56" s="186" t="s">
        <v>1389</v>
      </c>
      <c r="D56" s="230"/>
      <c r="E56" s="182" t="s">
        <v>871</v>
      </c>
      <c r="F56" s="182" t="s">
        <v>1390</v>
      </c>
      <c r="G56" s="182" t="s">
        <v>13217</v>
      </c>
      <c r="H56" s="183">
        <v>0</v>
      </c>
      <c r="I56" s="184" t="s">
        <v>12919</v>
      </c>
      <c r="J56" s="184" t="s">
        <v>9429</v>
      </c>
      <c r="K56" s="224"/>
      <c r="L56" s="224"/>
      <c r="M56" s="224"/>
      <c r="N56" s="224"/>
      <c r="O56" s="224"/>
      <c r="P56" s="185"/>
      <c r="Q56" s="225"/>
      <c r="R56" s="182" t="str">
        <f ca="1">IF(ISERROR($V56),"",OFFSET('Smelter Look-up'!$C$4,$V56-4,0)&amp;"")</f>
        <v>O.M. Manufacturing Philippines, Inc.</v>
      </c>
      <c r="S56" s="181" t="str">
        <f t="shared" ca="1" si="5"/>
        <v>PH</v>
      </c>
      <c r="T56" s="181" t="str">
        <f ca="1">IF(B56="","",IF(ISERROR(MATCH($J56,SorP!$B$1:$B$6226,0)),"",INDIRECT("'SorP'!$A$"&amp;MATCH($S56&amp;$J56,SorP!C:C,0))))</f>
        <v>PH-CAV</v>
      </c>
      <c r="U56" s="201"/>
      <c r="V56" s="226">
        <f>IF(C56="",NA(),IF(OR(C56="Smelter not listed",C56="Smelter not yet identified"),MATCH($B56&amp;$D56,'Smelter Look-up'!$J:$J,0),MATCH($B56&amp;$C56,'Smelter Look-up'!$J:$J,0)))</f>
        <v>497</v>
      </c>
      <c r="X56" s="227">
        <f t="shared" si="6"/>
        <v>0</v>
      </c>
      <c r="AB56" s="228" t="str">
        <f t="shared" si="7"/>
        <v>TinO.M. Manufacturing Philippines, Inc.</v>
      </c>
    </row>
    <row r="57" spans="1:28" s="227" customFormat="1" ht="38.25">
      <c r="A57" s="181" t="s">
        <v>15905</v>
      </c>
      <c r="B57" s="182" t="s">
        <v>1120</v>
      </c>
      <c r="C57" s="186" t="s">
        <v>1834</v>
      </c>
      <c r="D57" s="230" t="s">
        <v>15906</v>
      </c>
      <c r="E57" s="182" t="s">
        <v>1095</v>
      </c>
      <c r="F57" s="182" t="s">
        <v>15905</v>
      </c>
      <c r="G57" s="182" t="s">
        <v>13217</v>
      </c>
      <c r="H57" s="183" t="s">
        <v>15857</v>
      </c>
      <c r="I57" s="184" t="s">
        <v>1753</v>
      </c>
      <c r="J57" s="184" t="s">
        <v>15858</v>
      </c>
      <c r="K57" s="224"/>
      <c r="L57" s="224"/>
      <c r="M57" s="224"/>
      <c r="N57" s="224"/>
      <c r="O57" s="224"/>
      <c r="P57" s="185"/>
      <c r="Q57" s="225"/>
      <c r="R57" s="182" t="str">
        <f ca="1">IF(ISERROR($V57),"",OFFSET('Smelter Look-up'!$C$4,$V57-4,0)&amp;"")</f>
        <v/>
      </c>
      <c r="S57" s="181" t="str">
        <f t="shared" ca="1" si="5"/>
        <v>ID</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6"/>
        <v>0</v>
      </c>
      <c r="AB57" s="228" t="str">
        <f t="shared" si="7"/>
        <v>TinSmelter not listed</v>
      </c>
    </row>
    <row r="58" spans="1:28" s="227" customFormat="1" ht="51">
      <c r="A58" s="181" t="s">
        <v>15807</v>
      </c>
      <c r="B58" s="182" t="s">
        <v>1120</v>
      </c>
      <c r="C58" s="186" t="s">
        <v>1834</v>
      </c>
      <c r="D58" s="230" t="s">
        <v>15907</v>
      </c>
      <c r="E58" s="182" t="s">
        <v>1095</v>
      </c>
      <c r="F58" s="182" t="s">
        <v>15807</v>
      </c>
      <c r="G58" s="182" t="s">
        <v>13217</v>
      </c>
      <c r="H58" s="183" t="s">
        <v>15908</v>
      </c>
      <c r="I58" s="184" t="s">
        <v>15857</v>
      </c>
      <c r="J58" s="184" t="s">
        <v>15857</v>
      </c>
      <c r="K58" s="224"/>
      <c r="L58" s="224"/>
      <c r="M58" s="224"/>
      <c r="N58" s="224"/>
      <c r="O58" s="224"/>
      <c r="P58" s="185"/>
      <c r="Q58" s="225"/>
      <c r="R58" s="182" t="str">
        <f ca="1">IF(ISERROR($V58),"",OFFSET('Smelter Look-up'!$C$4,$V58-4,0)&amp;"")</f>
        <v/>
      </c>
      <c r="S58" s="181" t="str">
        <f t="shared" ca="1" si="5"/>
        <v>ID</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TinSmelter not listed</v>
      </c>
    </row>
    <row r="59" spans="1:28" s="227" customFormat="1" ht="51">
      <c r="A59" s="181" t="s">
        <v>15448</v>
      </c>
      <c r="B59" s="182" t="s">
        <v>1120</v>
      </c>
      <c r="C59" s="186" t="s">
        <v>15447</v>
      </c>
      <c r="D59" s="230"/>
      <c r="E59" s="182" t="s">
        <v>1095</v>
      </c>
      <c r="F59" s="182" t="s">
        <v>15448</v>
      </c>
      <c r="G59" s="182" t="s">
        <v>13217</v>
      </c>
      <c r="H59" s="183">
        <v>0</v>
      </c>
      <c r="I59" s="184" t="s">
        <v>15449</v>
      </c>
      <c r="J59" s="184" t="s">
        <v>1776</v>
      </c>
      <c r="K59" s="224"/>
      <c r="L59" s="224"/>
      <c r="M59" s="224"/>
      <c r="N59" s="224"/>
      <c r="O59" s="224"/>
      <c r="P59" s="185"/>
      <c r="Q59" s="225"/>
      <c r="R59" s="182" t="str">
        <f ca="1">IF(ISERROR($V59),"",OFFSET('Smelter Look-up'!$C$4,$V59-4,0)&amp;"")</f>
        <v>PT Cipta Persada Mulia</v>
      </c>
      <c r="S59" s="181" t="str">
        <f t="shared" ca="1" si="5"/>
        <v>ID</v>
      </c>
      <c r="T59" s="181" t="str">
        <f ca="1">IF(B59="","",IF(ISERROR(MATCH($J59,SorP!$B$1:$B$6226,0)),"",INDIRECT("'SorP'!$A$"&amp;MATCH($S59&amp;$J59,SorP!C:C,0))))</f>
        <v>ID-KR</v>
      </c>
      <c r="U59" s="201"/>
      <c r="V59" s="226">
        <f>IF(C59="",NA(),IF(OR(C59="Smelter not listed",C59="Smelter not yet identified"),MATCH($B59&amp;$D59,'Smelter Look-up'!$J:$J,0),MATCH($B59&amp;$C59,'Smelter Look-up'!$J:$J,0)))</f>
        <v>513</v>
      </c>
      <c r="X59" s="227">
        <f t="shared" si="6"/>
        <v>0</v>
      </c>
      <c r="AB59" s="228" t="str">
        <f t="shared" si="7"/>
        <v>TinPT Cipta Persada Mulia</v>
      </c>
    </row>
    <row r="60" spans="1:28" s="227" customFormat="1" ht="76.5">
      <c r="A60" s="181" t="s">
        <v>1800</v>
      </c>
      <c r="B60" s="182" t="s">
        <v>1120</v>
      </c>
      <c r="C60" s="186" t="s">
        <v>12412</v>
      </c>
      <c r="D60" s="230"/>
      <c r="E60" s="182" t="s">
        <v>1086</v>
      </c>
      <c r="F60" s="182" t="s">
        <v>1800</v>
      </c>
      <c r="G60" s="182" t="s">
        <v>13217</v>
      </c>
      <c r="H60" s="183">
        <v>0</v>
      </c>
      <c r="I60" s="184" t="s">
        <v>1709</v>
      </c>
      <c r="J60" s="184" t="s">
        <v>1744</v>
      </c>
      <c r="K60" s="224"/>
      <c r="L60" s="224"/>
      <c r="M60" s="224"/>
      <c r="N60" s="224"/>
      <c r="O60" s="224"/>
      <c r="P60" s="185"/>
      <c r="Q60" s="225"/>
      <c r="R60" s="182" t="str">
        <f ca="1">IF(ISERROR($V60),"",OFFSET('Smelter Look-up'!$C$4,$V60-4,0)&amp;"")</f>
        <v>Resind Industria e Comercio Ltda.</v>
      </c>
      <c r="S60" s="181" t="str">
        <f t="shared" ca="1" si="5"/>
        <v>BR</v>
      </c>
      <c r="T60" s="181" t="str">
        <f ca="1">IF(B60="","",IF(ISERROR(MATCH($J60,SorP!$B$1:$B$6226,0)),"",INDIRECT("'SorP'!$A$"&amp;MATCH($S60&amp;$J60,SorP!C:C,0))))</f>
        <v>BR-MG</v>
      </c>
      <c r="U60" s="201"/>
      <c r="V60" s="226">
        <f>IF(C60="",NA(),IF(OR(C60="Smelter not listed",C60="Smelter not yet identified"),MATCH($B60&amp;$D60,'Smelter Look-up'!$J:$J,0),MATCH($B60&amp;$C60,'Smelter Look-up'!$J:$J,0)))</f>
        <v>538</v>
      </c>
      <c r="X60" s="227">
        <f t="shared" si="6"/>
        <v>0</v>
      </c>
      <c r="AB60" s="228" t="str">
        <f t="shared" si="7"/>
        <v>TinResind Industria e Comercio Ltda.</v>
      </c>
    </row>
    <row r="61" spans="1:28" s="227" customFormat="1" ht="51">
      <c r="A61" s="262" t="s">
        <v>1801</v>
      </c>
      <c r="B61" s="182" t="s">
        <v>1120</v>
      </c>
      <c r="C61" s="186" t="s">
        <v>12910</v>
      </c>
      <c r="D61" s="230" t="s">
        <v>12910</v>
      </c>
      <c r="E61" s="182" t="s">
        <v>1085</v>
      </c>
      <c r="F61" s="182" t="s">
        <v>1801</v>
      </c>
      <c r="G61" s="182" t="s">
        <v>13217</v>
      </c>
      <c r="H61" s="183">
        <v>0</v>
      </c>
      <c r="I61" s="184" t="s">
        <v>1802</v>
      </c>
      <c r="J61" s="184" t="s">
        <v>3135</v>
      </c>
      <c r="K61" s="224" t="s">
        <v>15909</v>
      </c>
      <c r="L61" s="224" t="s">
        <v>15910</v>
      </c>
      <c r="M61" s="224"/>
      <c r="N61" s="224" t="s">
        <v>15911</v>
      </c>
      <c r="O61" s="224" t="s">
        <v>15911</v>
      </c>
      <c r="P61" s="185" t="s">
        <v>485</v>
      </c>
      <c r="Q61" s="225"/>
      <c r="R61" s="182" t="str">
        <f ca="1">IF(ISERROR($V61),"",OFFSET('Smelter Look-up'!$C$4,$V61-4,0)&amp;"")</f>
        <v>Aurubis Beerse</v>
      </c>
      <c r="S61" s="181" t="str">
        <f t="shared" ca="1" si="5"/>
        <v>BE</v>
      </c>
      <c r="T61" s="181" t="str">
        <f ca="1">IF(B61="","",IF(ISERROR(MATCH($J61,SorP!$B$1:$B$6226,0)),"",INDIRECT("'SorP'!$A$"&amp;MATCH($S61&amp;$J61,SorP!C:C,0))))</f>
        <v>BE-VAN</v>
      </c>
      <c r="U61" s="201"/>
      <c r="V61" s="226">
        <f>IF(C61="",NA(),IF(OR(C61="Smelter not listed",C61="Smelter not yet identified"),MATCH($B61&amp;$D61,'Smelter Look-up'!$J:$J,0),MATCH($B61&amp;$C61,'Smelter Look-up'!$J:$J,0)))</f>
        <v>480</v>
      </c>
      <c r="X61" s="227">
        <f t="shared" si="6"/>
        <v>0</v>
      </c>
      <c r="AB61" s="228" t="str">
        <f t="shared" si="7"/>
        <v>TinMetallo Belgium N.V.</v>
      </c>
    </row>
    <row r="62" spans="1:28" s="227" customFormat="1" ht="51">
      <c r="A62" s="262" t="s">
        <v>1803</v>
      </c>
      <c r="B62" s="182" t="s">
        <v>1120</v>
      </c>
      <c r="C62" s="186" t="s">
        <v>12911</v>
      </c>
      <c r="D62" s="230" t="s">
        <v>12911</v>
      </c>
      <c r="E62" s="182" t="s">
        <v>1092</v>
      </c>
      <c r="F62" s="182" t="s">
        <v>1803</v>
      </c>
      <c r="G62" s="182" t="s">
        <v>13217</v>
      </c>
      <c r="H62" s="183">
        <v>0</v>
      </c>
      <c r="I62" s="184" t="s">
        <v>1804</v>
      </c>
      <c r="J62" s="184" t="s">
        <v>12390</v>
      </c>
      <c r="K62" s="224" t="s">
        <v>15909</v>
      </c>
      <c r="L62" s="224" t="s">
        <v>15910</v>
      </c>
      <c r="M62" s="224"/>
      <c r="N62" s="224" t="s">
        <v>15911</v>
      </c>
      <c r="O62" s="224" t="s">
        <v>15911</v>
      </c>
      <c r="P62" s="185" t="s">
        <v>485</v>
      </c>
      <c r="Q62" s="225"/>
      <c r="R62" s="182" t="str">
        <f ca="1">IF(ISERROR($V62),"",OFFSET('Smelter Look-up'!$C$4,$V62-4,0)&amp;"")</f>
        <v>Aurubis Berango</v>
      </c>
      <c r="S62" s="181" t="str">
        <f t="shared" ca="1" si="5"/>
        <v>ES</v>
      </c>
      <c r="T62" s="181" t="str">
        <f ca="1">IF(B62="","",IF(ISERROR(MATCH($J62,SorP!$B$1:$B$6226,0)),"",INDIRECT("'SorP'!$A$"&amp;MATCH($S62&amp;$J62,SorP!C:C,0))))</f>
        <v>ES-BI</v>
      </c>
      <c r="U62" s="201"/>
      <c r="V62" s="226">
        <f>IF(C62="",NA(),IF(OR(C62="Smelter not listed",C62="Smelter not yet identified"),MATCH($B62&amp;$D62,'Smelter Look-up'!$J:$J,0),MATCH($B62&amp;$C62,'Smelter Look-up'!$J:$J,0)))</f>
        <v>481</v>
      </c>
      <c r="X62" s="227">
        <f t="shared" si="6"/>
        <v>0</v>
      </c>
      <c r="AB62" s="228" t="str">
        <f t="shared" si="7"/>
        <v>TinMetallo Spain S.L.U.</v>
      </c>
    </row>
    <row r="63" spans="1:28" s="227" customFormat="1" ht="51">
      <c r="A63" s="181" t="s">
        <v>15458</v>
      </c>
      <c r="B63" s="182" t="s">
        <v>1120</v>
      </c>
      <c r="C63" s="186" t="s">
        <v>15912</v>
      </c>
      <c r="D63" s="230"/>
      <c r="E63" s="182" t="s">
        <v>1095</v>
      </c>
      <c r="F63" s="182" t="s">
        <v>15458</v>
      </c>
      <c r="G63" s="182" t="s">
        <v>13217</v>
      </c>
      <c r="H63" s="183">
        <v>0</v>
      </c>
      <c r="I63" s="184" t="s">
        <v>15913</v>
      </c>
      <c r="J63" s="184" t="s">
        <v>12830</v>
      </c>
      <c r="K63" s="224"/>
      <c r="L63" s="224"/>
      <c r="M63" s="224"/>
      <c r="N63" s="224"/>
      <c r="O63" s="224"/>
      <c r="P63" s="185"/>
      <c r="Q63" s="225"/>
      <c r="R63" s="182" t="str">
        <f ca="1">IF(ISERROR($V63),"",OFFSET('Smelter Look-up'!$C$4,$V63-4,0)&amp;"")</f>
        <v/>
      </c>
      <c r="S63" s="181" t="str">
        <f t="shared" ca="1" si="5"/>
        <v>ID</v>
      </c>
      <c r="T63" s="181" t="str">
        <f ca="1">IF(B63="","",IF(ISERROR(MATCH($J63,SorP!$B$1:$B$6226,0)),"",INDIRECT("'SorP'!$A$"&amp;MATCH($S63&amp;$J63,SorP!C:C,0))))</f>
        <v>ID-BB</v>
      </c>
      <c r="U63" s="201"/>
      <c r="V63" s="226" t="e">
        <f>IF(C63="",NA(),IF(OR(C63="Smelter not listed",C63="Smelter not yet identified"),MATCH($B63&amp;$D63,'Smelter Look-up'!$J:$J,0),MATCH($B63&amp;$C63,'Smelter Look-up'!$J:$J,0)))</f>
        <v>#N/A</v>
      </c>
      <c r="X63" s="227">
        <f t="shared" si="6"/>
        <v>0</v>
      </c>
      <c r="AB63" s="228" t="str">
        <f t="shared" si="7"/>
        <v>TinPT Sukses Inti Makmur</v>
      </c>
    </row>
    <row r="64" spans="1:28" s="227" customFormat="1" ht="89.25">
      <c r="A64" s="181" t="s">
        <v>15914</v>
      </c>
      <c r="B64" s="182" t="s">
        <v>1120</v>
      </c>
      <c r="C64" s="186" t="s">
        <v>15915</v>
      </c>
      <c r="D64" s="230"/>
      <c r="E64" s="182" t="s">
        <v>882</v>
      </c>
      <c r="F64" s="182" t="s">
        <v>15914</v>
      </c>
      <c r="G64" s="182" t="s">
        <v>13217</v>
      </c>
      <c r="H64" s="183">
        <v>0</v>
      </c>
      <c r="I64" s="184" t="s">
        <v>15916</v>
      </c>
      <c r="J64" s="184" t="s">
        <v>12112</v>
      </c>
      <c r="K64" s="224"/>
      <c r="L64" s="224"/>
      <c r="M64" s="224"/>
      <c r="N64" s="224"/>
      <c r="O64" s="224"/>
      <c r="P64" s="185"/>
      <c r="Q64" s="225"/>
      <c r="R64" s="182" t="str">
        <f ca="1">IF(ISERROR($V64),"",OFFSET('Smelter Look-up'!$C$4,$V64-4,0)&amp;"")</f>
        <v/>
      </c>
      <c r="S64" s="181" t="str">
        <f t="shared" ca="1" si="5"/>
        <v>VN</v>
      </c>
      <c r="T64" s="181" t="str">
        <f ca="1">IF(B64="","",IF(ISERROR(MATCH($J64,SorP!$B$1:$B$6226,0)),"",INDIRECT("'SorP'!$A$"&amp;MATCH($S64&amp;$J64,SorP!C:C,0))))</f>
        <v>VN-69</v>
      </c>
      <c r="U64" s="201"/>
      <c r="V64" s="226" t="e">
        <f>IF(C64="",NA(),IF(OR(C64="Smelter not listed",C64="Smelter not yet identified"),MATCH($B64&amp;$D64,'Smelter Look-up'!$J:$J,0),MATCH($B64&amp;$C64,'Smelter Look-up'!$J:$J,0)))</f>
        <v>#N/A</v>
      </c>
      <c r="X64" s="227">
        <f t="shared" si="6"/>
        <v>0</v>
      </c>
      <c r="AB64" s="228" t="str">
        <f t="shared" si="7"/>
        <v>TinThai Nguyen Mining and Metallurgy Co., Ltd.</v>
      </c>
    </row>
    <row r="65" spans="1:28" s="227" customFormat="1" ht="51">
      <c r="A65" s="262" t="s">
        <v>15078</v>
      </c>
      <c r="B65" s="182" t="s">
        <v>1120</v>
      </c>
      <c r="C65" s="186" t="s">
        <v>15077</v>
      </c>
      <c r="D65" s="230" t="s">
        <v>15077</v>
      </c>
      <c r="E65" s="182" t="s">
        <v>1095</v>
      </c>
      <c r="F65" s="182" t="s">
        <v>15078</v>
      </c>
      <c r="G65" s="182" t="s">
        <v>13217</v>
      </c>
      <c r="H65" s="183">
        <v>0</v>
      </c>
      <c r="I65" s="184" t="s">
        <v>15114</v>
      </c>
      <c r="J65" s="184" t="s">
        <v>12830</v>
      </c>
      <c r="K65" s="224"/>
      <c r="L65" s="224"/>
      <c r="M65" s="224"/>
      <c r="N65" s="224"/>
      <c r="O65" s="224"/>
      <c r="P65" s="185" t="s">
        <v>485</v>
      </c>
      <c r="Q65" s="225"/>
      <c r="R65" s="182" t="str">
        <f ca="1">IF(ISERROR($V65),"",OFFSET('Smelter Look-up'!$C$4,$V65-4,0)&amp;"")</f>
        <v>PT Menara Cipta Mulia</v>
      </c>
      <c r="S65" s="181" t="str">
        <f t="shared" ca="1" si="5"/>
        <v>ID</v>
      </c>
      <c r="T65" s="181" t="str">
        <f ca="1">IF(B65="","",IF(ISERROR(MATCH($J65,SorP!$B$1:$B$6226,0)),"",INDIRECT("'SorP'!$A$"&amp;MATCH($S65&amp;$J65,SorP!C:C,0))))</f>
        <v>ID-BB</v>
      </c>
      <c r="U65" s="201"/>
      <c r="V65" s="226">
        <f>IF(C65="",NA(),IF(OR(C65="Smelter not listed",C65="Smelter not yet identified"),MATCH($B65&amp;$D65,'Smelter Look-up'!$J:$J,0),MATCH($B65&amp;$C65,'Smelter Look-up'!$J:$J,0)))</f>
        <v>516</v>
      </c>
      <c r="X65" s="227">
        <f t="shared" si="6"/>
        <v>0</v>
      </c>
      <c r="AB65" s="228" t="str">
        <f t="shared" si="7"/>
        <v>TinPT Menara Cipta Mulia</v>
      </c>
    </row>
    <row r="66" spans="1:28" s="227" customFormat="1" ht="51">
      <c r="A66" s="181" t="s">
        <v>15078</v>
      </c>
      <c r="B66" s="182" t="s">
        <v>1120</v>
      </c>
      <c r="C66" s="186" t="s">
        <v>15077</v>
      </c>
      <c r="D66" s="230" t="s">
        <v>15077</v>
      </c>
      <c r="E66" s="182" t="s">
        <v>1095</v>
      </c>
      <c r="F66" s="182" t="s">
        <v>15078</v>
      </c>
      <c r="G66" s="182" t="s">
        <v>13217</v>
      </c>
      <c r="H66" s="183">
        <v>0</v>
      </c>
      <c r="I66" s="184" t="s">
        <v>15114</v>
      </c>
      <c r="J66" s="184" t="s">
        <v>12830</v>
      </c>
      <c r="K66" s="224"/>
      <c r="L66" s="224"/>
      <c r="M66" s="224"/>
      <c r="N66" s="224"/>
      <c r="O66" s="224"/>
      <c r="P66" s="185" t="s">
        <v>485</v>
      </c>
      <c r="Q66" s="225"/>
      <c r="R66" s="182" t="str">
        <f ca="1">IF(ISERROR($V66),"",OFFSET('Smelter Look-up'!$C$4,$V66-4,0)&amp;"")</f>
        <v>PT Menara Cipta Mulia</v>
      </c>
      <c r="S66" s="181" t="str">
        <f t="shared" ca="1" si="5"/>
        <v>ID</v>
      </c>
      <c r="T66" s="181" t="str">
        <f ca="1">IF(B66="","",IF(ISERROR(MATCH($J66,SorP!$B$1:$B$6226,0)),"",INDIRECT("'SorP'!$A$"&amp;MATCH($S66&amp;$J66,SorP!C:C,0))))</f>
        <v>ID-BB</v>
      </c>
      <c r="U66" s="201"/>
      <c r="V66" s="226">
        <f>IF(C66="",NA(),IF(OR(C66="Smelter not listed",C66="Smelter not yet identified"),MATCH($B66&amp;$D66,'Smelter Look-up'!$J:$J,0),MATCH($B66&amp;$C66,'Smelter Look-up'!$J:$J,0)))</f>
        <v>516</v>
      </c>
      <c r="X66" s="227">
        <f t="shared" si="6"/>
        <v>0</v>
      </c>
      <c r="AB66" s="228" t="str">
        <f t="shared" si="7"/>
        <v>TinPT Menara Cipta Mulia</v>
      </c>
    </row>
    <row r="67" spans="1:28" s="227" customFormat="1" ht="76.5">
      <c r="A67" s="181" t="s">
        <v>15811</v>
      </c>
      <c r="B67" s="182" t="s">
        <v>1120</v>
      </c>
      <c r="C67" s="186" t="s">
        <v>15810</v>
      </c>
      <c r="D67" s="230"/>
      <c r="E67" s="182" t="s">
        <v>1090</v>
      </c>
      <c r="F67" s="182" t="s">
        <v>15811</v>
      </c>
      <c r="G67" s="182" t="s">
        <v>13217</v>
      </c>
      <c r="H67" s="183">
        <v>0</v>
      </c>
      <c r="I67" s="184" t="s">
        <v>1759</v>
      </c>
      <c r="J67" s="184" t="s">
        <v>13596</v>
      </c>
      <c r="K67" s="224"/>
      <c r="L67" s="224"/>
      <c r="M67" s="224"/>
      <c r="N67" s="224"/>
      <c r="O67" s="224"/>
      <c r="P67" s="185"/>
      <c r="Q67" s="225"/>
      <c r="R67" s="182" t="str">
        <f ca="1">IF(ISERROR($V67),"",OFFSET('Smelter Look-up'!$C$4,$V67-4,0)&amp;"")</f>
        <v>HuiChang Hill Tin Industry Co., Ltd.</v>
      </c>
      <c r="S67" s="181" t="str">
        <f t="shared" ca="1" si="5"/>
        <v>CN</v>
      </c>
      <c r="T67" s="181" t="str">
        <f ca="1">IF(B67="","",IF(ISERROR(MATCH($J67,SorP!$B$1:$B$6226,0)),"",INDIRECT("'SorP'!$A$"&amp;MATCH($S67&amp;$J67,SorP!C:C,0))))</f>
        <v>CN-JX</v>
      </c>
      <c r="U67" s="201"/>
      <c r="V67" s="226">
        <f>IF(C67="",NA(),IF(OR(C67="Smelter not listed",C67="Smelter not yet identified"),MATCH($B67&amp;$D67,'Smelter Look-up'!$J:$J,0),MATCH($B67&amp;$C67,'Smelter Look-up'!$J:$J,0)))</f>
        <v>458</v>
      </c>
      <c r="X67" s="227">
        <f t="shared" si="6"/>
        <v>0</v>
      </c>
      <c r="AB67" s="228" t="str">
        <f t="shared" si="7"/>
        <v>TinHuiChang Hill Tin Industry Co., Ltd.</v>
      </c>
    </row>
    <row r="68" spans="1:28" s="227" customFormat="1" ht="102">
      <c r="A68" s="181" t="s">
        <v>2512</v>
      </c>
      <c r="B68" s="182" t="s">
        <v>1120</v>
      </c>
      <c r="C68" s="186" t="s">
        <v>2511</v>
      </c>
      <c r="D68" s="230"/>
      <c r="E68" s="182" t="s">
        <v>1090</v>
      </c>
      <c r="F68" s="182" t="s">
        <v>2512</v>
      </c>
      <c r="G68" s="182" t="s">
        <v>13217</v>
      </c>
      <c r="H68" s="183">
        <v>0</v>
      </c>
      <c r="I68" s="184" t="s">
        <v>1810</v>
      </c>
      <c r="J68" s="184" t="s">
        <v>13601</v>
      </c>
      <c r="K68" s="224"/>
      <c r="L68" s="224"/>
      <c r="M68" s="224"/>
      <c r="N68" s="224"/>
      <c r="O68" s="224"/>
      <c r="P68" s="185"/>
      <c r="Q68" s="225"/>
      <c r="R68" s="182" t="str">
        <f ca="1">IF(ISERROR($V68),"",OFFSET('Smelter Look-up'!$C$4,$V68-4,0)&amp;"")</f>
        <v>Guangdong Hanhe Non-Ferrous Metal Co., Ltd.</v>
      </c>
      <c r="S68" s="181" t="str">
        <f t="shared" ref="S68" ca="1" si="8">IF(B68="","",IF(ISERROR(MATCH($E68,CL,0)),"Unknown",INDIRECT("'C'!$A$"&amp;MATCH($E68,CL,0)+1)))</f>
        <v>CN</v>
      </c>
      <c r="T68" s="181" t="str">
        <f ca="1">IF(B68="","",IF(ISERROR(MATCH($J68,SorP!$B$1:$B$6226,0)),"",INDIRECT("'SorP'!$A$"&amp;MATCH($S68&amp;$J68,SorP!C:C,0))))</f>
        <v>CN-GD</v>
      </c>
      <c r="U68" s="201"/>
      <c r="V68" s="226">
        <f>IF(C68="",NA(),IF(OR(C68="Smelter not listed",C68="Smelter not yet identified"),MATCH($B68&amp;$D68,'Smelter Look-up'!$J:$J,0),MATCH($B68&amp;$C68,'Smelter Look-up'!$J:$J,0)))</f>
        <v>455</v>
      </c>
      <c r="X68" s="227">
        <f t="shared" ref="X68" si="9">IF(AND(C68="Smelter not listed",OR(LEN(D68)=0,LEN(E68)=0)),1,0)</f>
        <v>0</v>
      </c>
      <c r="AB68" s="228" t="str">
        <f t="shared" ref="AB68" si="10">B68&amp;C68</f>
        <v>TinGuangdong Hanhe Non-Ferrous Metal Co., Ltd.</v>
      </c>
    </row>
    <row r="69" spans="1:28" s="227" customFormat="1" ht="89.25">
      <c r="A69" s="181" t="s">
        <v>12908</v>
      </c>
      <c r="B69" s="182" t="s">
        <v>1120</v>
      </c>
      <c r="C69" s="186" t="s">
        <v>12907</v>
      </c>
      <c r="D69" s="230"/>
      <c r="E69" s="182" t="s">
        <v>1090</v>
      </c>
      <c r="F69" s="182" t="s">
        <v>12908</v>
      </c>
      <c r="G69" s="182" t="s">
        <v>13217</v>
      </c>
      <c r="H69" s="183">
        <v>0</v>
      </c>
      <c r="I69" s="184" t="s">
        <v>12925</v>
      </c>
      <c r="J69" s="184" t="s">
        <v>13579</v>
      </c>
      <c r="K69" s="224"/>
      <c r="L69" s="224"/>
      <c r="M69" s="224"/>
      <c r="N69" s="224"/>
      <c r="O69" s="224"/>
      <c r="P69" s="185"/>
      <c r="Q69" s="225"/>
      <c r="R69" s="182" t="str">
        <f ca="1">IF(ISERROR($V69),"",OFFSET('Smelter Look-up'!$C$4,$V69-4,0)&amp;"")</f>
        <v>Chifeng Dajingzi Tin Industry Co., Ltd.</v>
      </c>
      <c r="S69" s="181" t="str">
        <f t="shared" ref="S69:S100" ca="1" si="11">IF(B69="","",IF(ISERROR(MATCH($E69,CL,0)),"Unknown",INDIRECT("'C'!$A$"&amp;MATCH($E69,CL,0)+1)))</f>
        <v>CN</v>
      </c>
      <c r="T69" s="181" t="str">
        <f ca="1">IF(B69="","",IF(ISERROR(MATCH($J69,SorP!$B$1:$B$6226,0)),"",INDIRECT("'SorP'!$A$"&amp;MATCH($S69&amp;$J69,SorP!C:C,0))))</f>
        <v>CN-NM</v>
      </c>
      <c r="U69" s="201"/>
      <c r="V69" s="226">
        <f>IF(C69="",NA(),IF(OR(C69="Smelter not listed",C69="Smelter not yet identified"),MATCH($B69&amp;$D69,'Smelter Look-up'!$J:$J,0),MATCH($B69&amp;$C69,'Smelter Look-up'!$J:$J,0)))</f>
        <v>412</v>
      </c>
      <c r="X69" s="227">
        <f t="shared" ref="X69:X100" si="12">IF(AND(C69="Smelter not listed",OR(LEN(D69)=0,LEN(E69)=0)),1,0)</f>
        <v>0</v>
      </c>
      <c r="AB69" s="228" t="str">
        <f t="shared" ref="AB69:AB100" si="13">B69&amp;C69</f>
        <v>TinChifeng Dajingzi Tin Industry Co., Ltd.</v>
      </c>
    </row>
    <row r="70" spans="1:28" s="227" customFormat="1" ht="51">
      <c r="A70" s="181" t="s">
        <v>14001</v>
      </c>
      <c r="B70" s="182" t="s">
        <v>1120</v>
      </c>
      <c r="C70" s="186" t="s">
        <v>12914</v>
      </c>
      <c r="D70" s="230"/>
      <c r="E70" s="182" t="s">
        <v>1095</v>
      </c>
      <c r="F70" s="182" t="s">
        <v>14001</v>
      </c>
      <c r="G70" s="182" t="s">
        <v>13217</v>
      </c>
      <c r="H70" s="183">
        <v>0</v>
      </c>
      <c r="I70" s="184" t="s">
        <v>15113</v>
      </c>
      <c r="J70" s="184" t="s">
        <v>12830</v>
      </c>
      <c r="K70" s="224"/>
      <c r="L70" s="224"/>
      <c r="M70" s="224"/>
      <c r="N70" s="224"/>
      <c r="O70" s="224"/>
      <c r="P70" s="185"/>
      <c r="Q70" s="225"/>
      <c r="R70" s="182" t="str">
        <f ca="1">IF(ISERROR($V70),"",OFFSET('Smelter Look-up'!$C$4,$V70-4,0)&amp;"")</f>
        <v>PT Bangka Serumpun</v>
      </c>
      <c r="S70" s="181" t="str">
        <f t="shared" ca="1" si="11"/>
        <v>ID</v>
      </c>
      <c r="T70" s="181" t="str">
        <f ca="1">IF(B70="","",IF(ISERROR(MATCH($J70,SorP!$B$1:$B$6226,0)),"",INDIRECT("'SorP'!$A$"&amp;MATCH($S70&amp;$J70,SorP!C:C,0))))</f>
        <v>ID-BB</v>
      </c>
      <c r="U70" s="201"/>
      <c r="V70" s="226">
        <f>IF(C70="",NA(),IF(OR(C70="Smelter not listed",C70="Smelter not yet identified"),MATCH($B70&amp;$D70,'Smelter Look-up'!$J:$J,0),MATCH($B70&amp;$C70,'Smelter Look-up'!$J:$J,0)))</f>
        <v>509</v>
      </c>
      <c r="X70" s="227">
        <f t="shared" si="12"/>
        <v>0</v>
      </c>
      <c r="AB70" s="228" t="str">
        <f t="shared" si="13"/>
        <v>TinPT Bangka Serumpun</v>
      </c>
    </row>
    <row r="71" spans="1:28" s="227" customFormat="1" ht="51">
      <c r="A71" s="262" t="s">
        <v>13161</v>
      </c>
      <c r="B71" s="182" t="s">
        <v>1120</v>
      </c>
      <c r="C71" s="186" t="s">
        <v>13160</v>
      </c>
      <c r="D71" s="230"/>
      <c r="E71" s="182" t="s">
        <v>2415</v>
      </c>
      <c r="F71" s="182" t="s">
        <v>13161</v>
      </c>
      <c r="G71" s="182" t="s">
        <v>13217</v>
      </c>
      <c r="H71" s="183">
        <v>0</v>
      </c>
      <c r="I71" s="184" t="s">
        <v>13162</v>
      </c>
      <c r="J71" s="184" t="s">
        <v>1725</v>
      </c>
      <c r="K71" s="224"/>
      <c r="L71" s="224"/>
      <c r="M71" s="224"/>
      <c r="N71" s="224"/>
      <c r="O71" s="224"/>
      <c r="P71" s="185"/>
      <c r="Q71" s="225"/>
      <c r="R71" s="182" t="str">
        <f ca="1">IF(ISERROR($V71),"",OFFSET('Smelter Look-up'!$C$4,$V71-4,0)&amp;"")</f>
        <v>Tin Technology &amp; Refining</v>
      </c>
      <c r="S71" s="181" t="str">
        <f t="shared" ca="1" si="11"/>
        <v>US</v>
      </c>
      <c r="T71" s="181" t="str">
        <f ca="1">IF(B71="","",IF(ISERROR(MATCH($J71,SorP!$B$1:$B$6226,0)),"",INDIRECT("'SorP'!$A$"&amp;MATCH($S71&amp;$J71,SorP!C:C,0))))</f>
        <v>US-PA</v>
      </c>
      <c r="U71" s="201"/>
      <c r="V71" s="226">
        <f>IF(C71="",NA(),IF(OR(C71="Smelter not listed",C71="Smelter not yet identified"),MATCH($B71&amp;$D71,'Smelter Look-up'!$J:$J,0),MATCH($B71&amp;$C71,'Smelter Look-up'!$J:$J,0)))</f>
        <v>551</v>
      </c>
      <c r="X71" s="227">
        <f t="shared" si="12"/>
        <v>0</v>
      </c>
      <c r="AB71" s="228" t="str">
        <f t="shared" si="13"/>
        <v>TinTin Technology &amp; Refining</v>
      </c>
    </row>
    <row r="72" spans="1:28" s="227" customFormat="1" ht="38.25">
      <c r="A72" s="181" t="s">
        <v>13840</v>
      </c>
      <c r="B72" s="182" t="s">
        <v>1120</v>
      </c>
      <c r="C72" s="186" t="s">
        <v>13826</v>
      </c>
      <c r="D72" s="230"/>
      <c r="E72" s="182" t="s">
        <v>13082</v>
      </c>
      <c r="F72" s="182" t="s">
        <v>13840</v>
      </c>
      <c r="G72" s="182" t="s">
        <v>13217</v>
      </c>
      <c r="H72" s="183">
        <v>0</v>
      </c>
      <c r="I72" s="184" t="s">
        <v>13851</v>
      </c>
      <c r="J72" s="184" t="s">
        <v>10043</v>
      </c>
      <c r="K72" s="224"/>
      <c r="L72" s="224"/>
      <c r="M72" s="224"/>
      <c r="N72" s="224"/>
      <c r="O72" s="224"/>
      <c r="P72" s="185"/>
      <c r="Q72" s="225"/>
      <c r="R72" s="182" t="str">
        <f ca="1">IF(ISERROR($V72),"",OFFSET('Smelter Look-up'!$C$4,$V72-4,0)&amp;"")</f>
        <v>Luna Smelter, Ltd.</v>
      </c>
      <c r="S72" s="181" t="str">
        <f t="shared" ca="1" si="11"/>
        <v>RW</v>
      </c>
      <c r="T72" s="181" t="str">
        <f ca="1">IF(B72="","",IF(ISERROR(MATCH($J72,SorP!$B$1:$B$6226,0)),"",INDIRECT("'SorP'!$A$"&amp;MATCH($S72&amp;$J72,SorP!C:C,0))))</f>
        <v>RW-01</v>
      </c>
      <c r="U72" s="201"/>
      <c r="V72" s="226">
        <f>IF(C72="",NA(),IF(OR(C72="Smelter not listed",C72="Smelter not yet identified"),MATCH($B72&amp;$D72,'Smelter Look-up'!$J:$J,0),MATCH($B72&amp;$C72,'Smelter Look-up'!$J:$J,0)))</f>
        <v>471</v>
      </c>
      <c r="X72" s="227">
        <f t="shared" si="12"/>
        <v>0</v>
      </c>
      <c r="AB72" s="228" t="str">
        <f t="shared" si="13"/>
        <v>TinLuna Smelter, Ltd.</v>
      </c>
    </row>
    <row r="73" spans="1:28" s="227" customFormat="1" ht="76.5">
      <c r="A73" s="181" t="s">
        <v>13783</v>
      </c>
      <c r="B73" s="182" t="s">
        <v>1120</v>
      </c>
      <c r="C73" s="186" t="s">
        <v>13782</v>
      </c>
      <c r="D73" s="230"/>
      <c r="E73" s="182" t="s">
        <v>1096</v>
      </c>
      <c r="F73" s="182" t="s">
        <v>13783</v>
      </c>
      <c r="G73" s="182" t="s">
        <v>13217</v>
      </c>
      <c r="H73" s="183">
        <v>0</v>
      </c>
      <c r="I73" s="184" t="s">
        <v>13803</v>
      </c>
      <c r="J73" s="184" t="s">
        <v>15917</v>
      </c>
      <c r="K73" s="224"/>
      <c r="L73" s="224"/>
      <c r="M73" s="224"/>
      <c r="N73" s="224"/>
      <c r="O73" s="224"/>
      <c r="P73" s="185"/>
      <c r="Q73" s="225"/>
      <c r="R73" s="182" t="str">
        <f ca="1">IF(ISERROR($V73),"",OFFSET('Smelter Look-up'!$C$4,$V73-4,0)&amp;"")</f>
        <v>Precious Minerals and Smelting Limited</v>
      </c>
      <c r="S73" s="181" t="str">
        <f t="shared" ca="1" si="11"/>
        <v>IN</v>
      </c>
      <c r="T73" s="181" t="str">
        <f ca="1">IF(B73="","",IF(ISERROR(MATCH($J73,SorP!$B$1:$B$6226,0)),"",INDIRECT("'SorP'!$A$"&amp;MATCH($S73&amp;$J73,SorP!C:C,0))))</f>
        <v/>
      </c>
      <c r="U73" s="201"/>
      <c r="V73" s="226">
        <f>IF(C73="",NA(),IF(OR(C73="Smelter not listed",C73="Smelter not yet identified"),MATCH($B73&amp;$D73,'Smelter Look-up'!$J:$J,0),MATCH($B73&amp;$C73,'Smelter Look-up'!$J:$J,0)))</f>
        <v>502</v>
      </c>
      <c r="X73" s="227">
        <f t="shared" si="12"/>
        <v>0</v>
      </c>
      <c r="AB73" s="228" t="str">
        <f t="shared" si="13"/>
        <v>TinPrecious Minerals and Smelting Limited</v>
      </c>
    </row>
    <row r="74" spans="1:28" s="227" customFormat="1" ht="63.75">
      <c r="A74" s="181" t="s">
        <v>13841</v>
      </c>
      <c r="B74" s="182" t="s">
        <v>1120</v>
      </c>
      <c r="C74" s="186" t="s">
        <v>13827</v>
      </c>
      <c r="D74" s="230"/>
      <c r="E74" s="182" t="s">
        <v>1095</v>
      </c>
      <c r="F74" s="182" t="s">
        <v>13841</v>
      </c>
      <c r="G74" s="182" t="s">
        <v>13217</v>
      </c>
      <c r="H74" s="183">
        <v>0</v>
      </c>
      <c r="I74" s="184" t="s">
        <v>15113</v>
      </c>
      <c r="J74" s="184" t="s">
        <v>12830</v>
      </c>
      <c r="K74" s="224"/>
      <c r="L74" s="224"/>
      <c r="M74" s="224"/>
      <c r="N74" s="224"/>
      <c r="O74" s="224"/>
      <c r="P74" s="185"/>
      <c r="Q74" s="225"/>
      <c r="R74" s="182" t="str">
        <f ca="1">IF(ISERROR($V74),"",OFFSET('Smelter Look-up'!$C$4,$V74-4,0)&amp;"")</f>
        <v>PT Mitra Sukses Globalindo</v>
      </c>
      <c r="S74" s="181" t="str">
        <f t="shared" ca="1" si="11"/>
        <v>ID</v>
      </c>
      <c r="T74" s="181" t="str">
        <f ca="1">IF(B74="","",IF(ISERROR(MATCH($J74,SorP!$B$1:$B$6226,0)),"",INDIRECT("'SorP'!$A$"&amp;MATCH($S74&amp;$J74,SorP!C:C,0))))</f>
        <v>ID-BB</v>
      </c>
      <c r="U74" s="201"/>
      <c r="V74" s="226">
        <f>IF(C74="",NA(),IF(OR(C74="Smelter not listed",C74="Smelter not yet identified"),MATCH($B74&amp;$D74,'Smelter Look-up'!$J:$J,0),MATCH($B74&amp;$C74,'Smelter Look-up'!$J:$J,0)))</f>
        <v>519</v>
      </c>
      <c r="X74" s="227">
        <f t="shared" si="12"/>
        <v>0</v>
      </c>
      <c r="AB74" s="228" t="str">
        <f t="shared" si="13"/>
        <v>TinPT Mitra Sukses Globalindo</v>
      </c>
    </row>
    <row r="75" spans="1:28" s="227" customFormat="1" ht="153">
      <c r="A75" s="181" t="s">
        <v>15057</v>
      </c>
      <c r="B75" s="182" t="s">
        <v>1120</v>
      </c>
      <c r="C75" s="186" t="s">
        <v>15056</v>
      </c>
      <c r="D75" s="230"/>
      <c r="E75" s="182" t="s">
        <v>1086</v>
      </c>
      <c r="F75" s="182" t="s">
        <v>15057</v>
      </c>
      <c r="G75" s="182" t="s">
        <v>13217</v>
      </c>
      <c r="H75" s="183">
        <v>0</v>
      </c>
      <c r="I75" s="184" t="s">
        <v>15107</v>
      </c>
      <c r="J75" s="184" t="s">
        <v>3443</v>
      </c>
      <c r="K75" s="224"/>
      <c r="L75" s="224"/>
      <c r="M75" s="224"/>
      <c r="N75" s="224"/>
      <c r="O75" s="224"/>
      <c r="P75" s="185"/>
      <c r="Q75" s="225"/>
      <c r="R75" s="182" t="str">
        <f ca="1">IF(ISERROR($V75),"",OFFSET('Smelter Look-up'!$C$4,$V75-4,0)&amp;"")</f>
        <v>CRM Fundicao De Metais E Comercio De Equipamentos Eletronicos Do Brasil Ltda</v>
      </c>
      <c r="S75" s="181" t="str">
        <f t="shared" ca="1" si="11"/>
        <v>BR</v>
      </c>
      <c r="T75" s="181" t="str">
        <f ca="1">IF(B75="","",IF(ISERROR(MATCH($J75,SorP!$B$1:$B$6226,0)),"",INDIRECT("'SorP'!$A$"&amp;MATCH($S75&amp;$J75,SorP!C:C,0))))</f>
        <v>BR-SC</v>
      </c>
      <c r="U75" s="201"/>
      <c r="V75" s="226">
        <f>IF(C75="",NA(),IF(OR(C75="Smelter not listed",C75="Smelter not yet identified"),MATCH($B75&amp;$D75,'Smelter Look-up'!$J:$J,0),MATCH($B75&amp;$C75,'Smelter Look-up'!$J:$J,0)))</f>
        <v>420</v>
      </c>
      <c r="X75" s="227">
        <f t="shared" si="12"/>
        <v>0</v>
      </c>
      <c r="AB75" s="228" t="str">
        <f t="shared" si="13"/>
        <v>TinCRM Fundicao De Metais E Comercio De Equipamentos Eletronicos Do Brasil Ltda</v>
      </c>
    </row>
    <row r="76" spans="1:28" s="227" customFormat="1" ht="38.25">
      <c r="A76" s="181" t="s">
        <v>15060</v>
      </c>
      <c r="B76" s="182" t="s">
        <v>1120</v>
      </c>
      <c r="C76" s="186" t="s">
        <v>15059</v>
      </c>
      <c r="D76" s="230"/>
      <c r="E76" s="182" t="s">
        <v>1092</v>
      </c>
      <c r="F76" s="182" t="s">
        <v>15060</v>
      </c>
      <c r="G76" s="182" t="s">
        <v>13217</v>
      </c>
      <c r="H76" s="183">
        <v>0</v>
      </c>
      <c r="I76" s="184" t="s">
        <v>3633</v>
      </c>
      <c r="J76" s="184" t="s">
        <v>3633</v>
      </c>
      <c r="K76" s="224"/>
      <c r="L76" s="224"/>
      <c r="M76" s="224"/>
      <c r="N76" s="224"/>
      <c r="O76" s="224"/>
      <c r="P76" s="185"/>
      <c r="Q76" s="225"/>
      <c r="R76" s="182" t="str">
        <f ca="1">IF(ISERROR($V76),"",OFFSET('Smelter Look-up'!$C$4,$V76-4,0)&amp;"")</f>
        <v>CRM Synergies</v>
      </c>
      <c r="S76" s="181" t="str">
        <f t="shared" ca="1" si="11"/>
        <v>ES</v>
      </c>
      <c r="T76" s="181" t="str">
        <f ca="1">IF(B76="","",IF(ISERROR(MATCH($J76,SorP!$B$1:$B$6226,0)),"",INDIRECT("'SorP'!$A$"&amp;MATCH($S76&amp;$J76,SorP!C:C,0))))</f>
        <v>ES-TO</v>
      </c>
      <c r="U76" s="201"/>
      <c r="V76" s="226">
        <f>IF(C76="",NA(),IF(OR(C76="Smelter not listed",C76="Smelter not yet identified"),MATCH($B76&amp;$D76,'Smelter Look-up'!$J:$J,0),MATCH($B76&amp;$C76,'Smelter Look-up'!$J:$J,0)))</f>
        <v>422</v>
      </c>
      <c r="X76" s="227">
        <f t="shared" si="12"/>
        <v>0</v>
      </c>
      <c r="AB76" s="228" t="str">
        <f t="shared" si="13"/>
        <v>TinCRM Synergies</v>
      </c>
    </row>
    <row r="77" spans="1:28" s="227" customFormat="1" ht="51">
      <c r="A77" s="181" t="s">
        <v>15068</v>
      </c>
      <c r="B77" s="182" t="s">
        <v>1120</v>
      </c>
      <c r="C77" s="186" t="s">
        <v>15069</v>
      </c>
      <c r="D77" s="230" t="s">
        <v>15069</v>
      </c>
      <c r="E77" s="182" t="s">
        <v>1086</v>
      </c>
      <c r="F77" s="182" t="s">
        <v>15068</v>
      </c>
      <c r="G77" s="182" t="s">
        <v>13217</v>
      </c>
      <c r="H77" s="183">
        <v>0</v>
      </c>
      <c r="I77" s="184" t="s">
        <v>15110</v>
      </c>
      <c r="J77" s="184" t="s">
        <v>1666</v>
      </c>
      <c r="K77" s="224"/>
      <c r="L77" s="224"/>
      <c r="M77" s="224"/>
      <c r="N77" s="224"/>
      <c r="O77" s="224"/>
      <c r="P77" s="185"/>
      <c r="Q77" s="225"/>
      <c r="R77" s="182" t="str">
        <f ca="1">IF(ISERROR($V77),"",OFFSET('Smelter Look-up'!$C$4,$V77-4,0)&amp;"")</f>
        <v>Fabrica Auricchio Industria e Comercio Ltda.</v>
      </c>
      <c r="S77" s="181" t="str">
        <f t="shared" ca="1" si="11"/>
        <v>BR</v>
      </c>
      <c r="T77" s="181" t="str">
        <f ca="1">IF(B77="","",IF(ISERROR(MATCH($J77,SorP!$B$1:$B$6226,0)),"",INDIRECT("'SorP'!$A$"&amp;MATCH($S77&amp;$J77,SorP!C:C,0))))</f>
        <v>BR-SP</v>
      </c>
      <c r="U77" s="201"/>
      <c r="V77" s="226">
        <f>IF(C77="",NA(),IF(OR(C77="Smelter not listed",C77="Smelter not yet identified"),MATCH($B77&amp;$D77,'Smelter Look-up'!$J:$J,0),MATCH($B77&amp;$C77,'Smelter Look-up'!$J:$J,0)))</f>
        <v>440</v>
      </c>
      <c r="X77" s="227">
        <f t="shared" si="12"/>
        <v>0</v>
      </c>
      <c r="AB77" s="228" t="str">
        <f t="shared" si="13"/>
        <v>TinFábrica Auricchio</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51F000F-FF83-4486-AFFD-3E63EE154466}"/>
    </customSheetView>
  </customSheetViews>
  <mergeCells count="3">
    <mergeCell ref="J2:O2"/>
    <mergeCell ref="B3:E3"/>
    <mergeCell ref="G3:I3"/>
  </mergeCells>
  <conditionalFormatting sqref="B5:B2503">
    <cfRule type="expression" dxfId="26" priority="12" stopIfTrue="1">
      <formula>IF(B5="",TRUE)</formula>
    </cfRule>
    <cfRule type="expression" dxfId="25" priority="13" stopIfTrue="1">
      <formula>IF(AND(COUNTIF(MetalSmelter,B5&amp;C5)=0,LEN(C5)&gt;0),TRUE,FALSE)</formula>
    </cfRule>
  </conditionalFormatting>
  <conditionalFormatting sqref="C5:C2503">
    <cfRule type="expression" dxfId="24" priority="20" stopIfTrue="1">
      <formula>IF(AND(B5&lt;&gt;"",C5=""),TRUE)</formula>
    </cfRule>
  </conditionalFormatting>
  <conditionalFormatting sqref="D5:D2503">
    <cfRule type="expression" dxfId="23" priority="24" stopIfTrue="1">
      <formula>IF(AND(LEN($C5)&gt;0,AND($C5&lt;&gt;"Smelter Not Listed",ISBLANK($D5))),1,0)</formula>
    </cfRule>
    <cfRule type="expression" dxfId="22" priority="31" stopIfTrue="1">
      <formula>IF(AND(D5="",$C5=$X$4),TRUE)</formula>
    </cfRule>
    <cfRule type="expression" dxfId="21" priority="32" stopIfTrue="1">
      <formula>IF(FIND("!",D5),TRUE)</formula>
    </cfRule>
  </conditionalFormatting>
  <conditionalFormatting sqref="E78:E2503 R5:R2503">
    <cfRule type="expression" dxfId="20" priority="18" stopIfTrue="1">
      <formula>IF(AND(E5="",$C5=$X$4),TRUE)</formula>
    </cfRule>
    <cfRule type="expression" dxfId="19" priority="19" stopIfTrue="1">
      <formula>IF(FIND("!",E5),TRUE)</formula>
    </cfRule>
  </conditionalFormatting>
  <conditionalFormatting sqref="F5:F2503">
    <cfRule type="expression" dxfId="18" priority="16" stopIfTrue="1">
      <formula>IF(AND(LEN($A5)&gt;0,$A5&lt;&gt;$F5),TRUE,FALSE)</formula>
    </cfRule>
  </conditionalFormatting>
  <conditionalFormatting sqref="G78:G2503 G5:G52">
    <cfRule type="expression" dxfId="17" priority="33" stopIfTrue="1">
      <formula>IF(FIND("Enter smelter details",G5),TRUE)</formula>
    </cfRule>
  </conditionalFormatting>
  <conditionalFormatting sqref="G62:G77">
    <cfRule type="expression" dxfId="16" priority="3" stopIfTrue="1">
      <formula>IF(FIND("Enter smelter details",G62),TRUE)</formula>
    </cfRule>
  </conditionalFormatting>
  <conditionalFormatting sqref="E5:E77">
    <cfRule type="expression" dxfId="15" priority="4" stopIfTrue="1">
      <formula>IF(AND(E5="",$C5=$X$4),TRUE)</formula>
    </cfRule>
  </conditionalFormatting>
  <conditionalFormatting sqref="G53:G61">
    <cfRule type="expression" dxfId="14" priority="7" stopIfTrue="1">
      <formula>IF(FIND("Enter smelter details",G53),TRUE)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7" stopIfTrue="1" id="{3A2C08C1-A3CB-4039-99D1-6146192A6F94}">
            <xm:f>IF(OR(AND(B78="Tantalum",Declaration!$P$38=""),AND(B78="Tin",Declaration!$P$39=""),AND(B78="Gold",Declaration!$P$40=""),AND(B78="Tungsten",Declaration!$P$41="")),TRUE,FALSE)</xm:f>
            <x14:dxf>
              <fill>
                <patternFill>
                  <bgColor rgb="FFFF0000"/>
                </patternFill>
              </fill>
            </x14:dxf>
          </x14:cfRule>
          <xm:sqref>B78:B2503</xm:sqref>
        </x14:conditionalFormatting>
        <x14:conditionalFormatting xmlns:xm="http://schemas.microsoft.com/office/excel/2006/main">
          <x14:cfRule type="expression" priority="15" stopIfTrue="1" id="{4DF03B03-3E0F-40B2-A5D1-B1DA6639A4FD}">
            <xm:f>IF(OR(AND(B78="Tantalum",Declaration!$P$38=""),AND(B78="Tin",Declaration!$P$39=""),AND(B78="Gold",Declaration!$P$40=""),AND(B78="Tungsten",Declaration!$P$41="")),TRUE,FALSE)</xm:f>
            <x14:dxf>
              <fill>
                <patternFill>
                  <bgColor rgb="FFFF0000"/>
                </patternFill>
              </fill>
            </x14:dxf>
          </x14:cfRule>
          <xm:sqref>C78:C2503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ASC Capacitors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Justin Yager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compliance@ascapacitor.com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308-284-3611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Heilman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cheilman@ascapacitor.com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ascapacitor.com/iso-standards.html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26"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jeanelle</cp:lastModifiedBy>
  <cp:lastPrinted>2015-04-21T20:47:43Z</cp:lastPrinted>
  <dcterms:created xsi:type="dcterms:W3CDTF">2010-06-21T21:00:23Z</dcterms:created>
  <dcterms:modified xsi:type="dcterms:W3CDTF">2024-07-03T14:52:00Z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